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0" yWindow="-100" windowWidth="19420" windowHeight="11020" firstSheet="1" activeTab="2"/>
  </bookViews>
  <sheets>
    <sheet name="Resource Envelop" sheetId="28" r:id="rId1"/>
    <sheet name="Salary" sheetId="38" r:id="rId2"/>
    <sheet name="Programme" sheetId="39" r:id="rId3"/>
    <sheet name="Summary" sheetId="30" r:id="rId4"/>
    <sheet name="Economic Class" sheetId="35" r:id="rId5"/>
    <sheet name="Ward based rojects" sheetId="31" r:id="rId6"/>
    <sheet name="Pending bills allocation" sheetId="40" r:id="rId7"/>
    <sheet name="Agriculture." sheetId="24" r:id="rId8"/>
    <sheet name="Road" sheetId="18" r:id="rId9"/>
    <sheet name="Tourism- Water" sheetId="23" r:id="rId10"/>
    <sheet name="Education" sheetId="20" r:id="rId11"/>
    <sheet name="Health-sanitation" sheetId="21" r:id="rId12"/>
    <sheet name="Lands" sheetId="1" r:id="rId13"/>
    <sheet name="Trade" sheetId="19" r:id="rId14"/>
    <sheet name="Finance" sheetId="9" r:id="rId15"/>
    <sheet name="CPSB" sheetId="10" r:id="rId16"/>
    <sheet name="Gender and Culture" sheetId="12" r:id="rId17"/>
    <sheet name="Gov" sheetId="25" r:id="rId18"/>
    <sheet name="P Admin" sheetId="33" r:id="rId19"/>
    <sheet name="Assembly" sheetId="26" r:id="rId20"/>
    <sheet name="Sheet1" sheetId="41" r:id="rId21"/>
  </sheets>
  <externalReferences>
    <externalReference r:id="rId22"/>
    <externalReference r:id="rId23"/>
    <externalReference r:id="rId24"/>
  </externalReferences>
  <definedNames>
    <definedName name="_xlnm._FilterDatabase" localSheetId="7" hidden="1">Agriculture.!$A$3:$G$409</definedName>
    <definedName name="_xlnm._FilterDatabase" localSheetId="11" hidden="1">'Health-sanitation'!$A$4:$E$1277</definedName>
    <definedName name="ExternalData_1" localSheetId="19" hidden="1">Assembly!$A$4:$D$122</definedName>
    <definedName name="_xlnm.Print_Area" localSheetId="10">Education!$A$1:$D$74</definedName>
    <definedName name="_xlnm.Print_Area" localSheetId="6">'Pending bills allocation'!$A$1:$D$32</definedName>
    <definedName name="_xlnm.Print_Area" localSheetId="9">'Tourism- Water'!$A$1:$D$118</definedName>
    <definedName name="_xlnm.Print_Area" localSheetId="5">'Ward based rojects'!$A$1:$F$13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8" i="9" l="1"/>
  <c r="F100" i="9"/>
  <c r="F369" i="9"/>
  <c r="C369" i="9"/>
  <c r="D369" i="9" s="1"/>
  <c r="E369" i="9" s="1"/>
  <c r="E368" i="9"/>
  <c r="D368" i="9"/>
  <c r="C368" i="9"/>
  <c r="C370" i="9" s="1"/>
  <c r="C371" i="9" s="1"/>
  <c r="C372" i="9" s="1"/>
  <c r="C373" i="9" s="1"/>
  <c r="F367" i="9"/>
  <c r="E366" i="9"/>
  <c r="E365" i="9" s="1"/>
  <c r="C366" i="9"/>
  <c r="D366" i="9" s="1"/>
  <c r="D365" i="9"/>
  <c r="C365" i="9"/>
  <c r="C364" i="9"/>
  <c r="C363" i="9" s="1"/>
  <c r="E361" i="9"/>
  <c r="D361" i="9"/>
  <c r="C361" i="9"/>
  <c r="D347" i="9"/>
  <c r="E347" i="9" s="1"/>
  <c r="D346" i="9"/>
  <c r="D345" i="9" s="1"/>
  <c r="C345" i="9"/>
  <c r="D344" i="9"/>
  <c r="E344" i="9" s="1"/>
  <c r="C343" i="9"/>
  <c r="C342" i="9" s="1"/>
  <c r="C341" i="9"/>
  <c r="D340" i="9"/>
  <c r="D339" i="9"/>
  <c r="E338" i="9"/>
  <c r="D334" i="9"/>
  <c r="E334" i="9" s="1"/>
  <c r="D333" i="9"/>
  <c r="D332" i="9" s="1"/>
  <c r="C332" i="9"/>
  <c r="C331" i="9"/>
  <c r="D331" i="9" s="1"/>
  <c r="E331" i="9" s="1"/>
  <c r="E330" i="9"/>
  <c r="D330" i="9"/>
  <c r="C330" i="9"/>
  <c r="C335" i="9" s="1"/>
  <c r="C336" i="9" s="1"/>
  <c r="C337" i="9" s="1"/>
  <c r="E329" i="9"/>
  <c r="E328" i="9" s="1"/>
  <c r="D329" i="9"/>
  <c r="D328" i="9"/>
  <c r="C328" i="9"/>
  <c r="D327" i="9"/>
  <c r="E327" i="9" s="1"/>
  <c r="D326" i="9"/>
  <c r="C325" i="9"/>
  <c r="D324" i="9"/>
  <c r="D323" i="9"/>
  <c r="E323" i="9" s="1"/>
  <c r="C322" i="9"/>
  <c r="E321" i="9"/>
  <c r="D321" i="9"/>
  <c r="D319" i="9" s="1"/>
  <c r="D320" i="9"/>
  <c r="E320" i="9" s="1"/>
  <c r="C319" i="9"/>
  <c r="D318" i="9"/>
  <c r="E318" i="9" s="1"/>
  <c r="E317" i="9"/>
  <c r="D317" i="9"/>
  <c r="C317" i="9"/>
  <c r="D316" i="9"/>
  <c r="E316" i="9" s="1"/>
  <c r="E314" i="9" s="1"/>
  <c r="D315" i="9"/>
  <c r="E315" i="9" s="1"/>
  <c r="D314" i="9"/>
  <c r="C314" i="9"/>
  <c r="E313" i="9"/>
  <c r="E312" i="9" s="1"/>
  <c r="D313" i="9"/>
  <c r="D312" i="9" s="1"/>
  <c r="C312" i="9"/>
  <c r="C311" i="9"/>
  <c r="E308" i="9"/>
  <c r="D308" i="9"/>
  <c r="E307" i="9"/>
  <c r="D307" i="9"/>
  <c r="C307" i="9"/>
  <c r="C309" i="9" s="1"/>
  <c r="C310" i="9" s="1"/>
  <c r="E305" i="9"/>
  <c r="D305" i="9"/>
  <c r="C305" i="9"/>
  <c r="D304" i="9"/>
  <c r="E304" i="9" s="1"/>
  <c r="E303" i="9" s="1"/>
  <c r="D303" i="9"/>
  <c r="C303" i="9"/>
  <c r="D302" i="9"/>
  <c r="E302" i="9" s="1"/>
  <c r="E301" i="9" s="1"/>
  <c r="D301" i="9"/>
  <c r="C301" i="9"/>
  <c r="D299" i="9"/>
  <c r="D298" i="9" s="1"/>
  <c r="C298" i="9"/>
  <c r="E297" i="9"/>
  <c r="D297" i="9"/>
  <c r="D296" i="9"/>
  <c r="E296" i="9" s="1"/>
  <c r="E295" i="9" s="1"/>
  <c r="D295" i="9"/>
  <c r="C295" i="9"/>
  <c r="D294" i="9"/>
  <c r="E293" i="9"/>
  <c r="D293" i="9"/>
  <c r="C292" i="9"/>
  <c r="D291" i="9"/>
  <c r="E291" i="9" s="1"/>
  <c r="D290" i="9"/>
  <c r="E290" i="9" s="1"/>
  <c r="E289" i="9"/>
  <c r="D289" i="9"/>
  <c r="D288" i="9"/>
  <c r="C287" i="9"/>
  <c r="D286" i="9"/>
  <c r="E286" i="9" s="1"/>
  <c r="E285" i="9"/>
  <c r="D285" i="9"/>
  <c r="C285" i="9"/>
  <c r="E280" i="9"/>
  <c r="D280" i="9"/>
  <c r="C280" i="9"/>
  <c r="D279" i="9"/>
  <c r="E279" i="9" s="1"/>
  <c r="D278" i="9"/>
  <c r="C277" i="9"/>
  <c r="E276" i="9"/>
  <c r="D276" i="9"/>
  <c r="D275" i="9"/>
  <c r="D274" i="9" s="1"/>
  <c r="C274" i="9"/>
  <c r="D272" i="9"/>
  <c r="E272" i="9" s="1"/>
  <c r="E271" i="9"/>
  <c r="D271" i="9"/>
  <c r="D270" i="9"/>
  <c r="C269" i="9"/>
  <c r="D268" i="9"/>
  <c r="E268" i="9" s="1"/>
  <c r="E267" i="9" s="1"/>
  <c r="D267" i="9"/>
  <c r="C267" i="9"/>
  <c r="D266" i="9"/>
  <c r="E266" i="9" s="1"/>
  <c r="D265" i="9"/>
  <c r="E265" i="9" s="1"/>
  <c r="E264" i="9" s="1"/>
  <c r="D264" i="9"/>
  <c r="C264" i="9"/>
  <c r="E263" i="9"/>
  <c r="E262" i="9" s="1"/>
  <c r="D263" i="9"/>
  <c r="D262" i="9"/>
  <c r="C262" i="9"/>
  <c r="E257" i="9"/>
  <c r="D257" i="9"/>
  <c r="C257" i="9"/>
  <c r="D256" i="9"/>
  <c r="E256" i="9" s="1"/>
  <c r="E255" i="9"/>
  <c r="D255" i="9"/>
  <c r="C255" i="9"/>
  <c r="D254" i="9"/>
  <c r="D253" i="9" s="1"/>
  <c r="C253" i="9"/>
  <c r="E252" i="9"/>
  <c r="D252" i="9"/>
  <c r="D251" i="9" s="1"/>
  <c r="E251" i="9"/>
  <c r="C251" i="9"/>
  <c r="D250" i="9"/>
  <c r="D249" i="9"/>
  <c r="E249" i="9" s="1"/>
  <c r="D248" i="9"/>
  <c r="E248" i="9" s="1"/>
  <c r="E247" i="9"/>
  <c r="C247" i="9"/>
  <c r="E245" i="9"/>
  <c r="E244" i="9" s="1"/>
  <c r="D245" i="9"/>
  <c r="D244" i="9"/>
  <c r="C244" i="9"/>
  <c r="D243" i="9"/>
  <c r="D239" i="9" s="1"/>
  <c r="C243" i="9"/>
  <c r="E242" i="9"/>
  <c r="D242" i="9"/>
  <c r="D241" i="9"/>
  <c r="E241" i="9" s="1"/>
  <c r="D240" i="9"/>
  <c r="E240" i="9" s="1"/>
  <c r="C239" i="9"/>
  <c r="D238" i="9"/>
  <c r="E238" i="9" s="1"/>
  <c r="D237" i="9"/>
  <c r="E237" i="9" s="1"/>
  <c r="E236" i="9" s="1"/>
  <c r="D236" i="9"/>
  <c r="C236" i="9"/>
  <c r="E235" i="9"/>
  <c r="D235" i="9"/>
  <c r="D234" i="9"/>
  <c r="E234" i="9" s="1"/>
  <c r="D233" i="9"/>
  <c r="E233" i="9" s="1"/>
  <c r="D232" i="9"/>
  <c r="D231" i="9" s="1"/>
  <c r="C231" i="9"/>
  <c r="D230" i="9"/>
  <c r="D228" i="9" s="1"/>
  <c r="D229" i="9"/>
  <c r="E229" i="9" s="1"/>
  <c r="E228" i="9" s="1"/>
  <c r="C228" i="9"/>
  <c r="D224" i="9"/>
  <c r="E224" i="9" s="1"/>
  <c r="E223" i="9"/>
  <c r="D223" i="9"/>
  <c r="C223" i="9"/>
  <c r="E222" i="9"/>
  <c r="E221" i="9" s="1"/>
  <c r="D222" i="9"/>
  <c r="D221" i="9" s="1"/>
  <c r="C221" i="9"/>
  <c r="D219" i="9"/>
  <c r="E219" i="9" s="1"/>
  <c r="E218" i="9" s="1"/>
  <c r="D218" i="9"/>
  <c r="C218" i="9"/>
  <c r="D217" i="9"/>
  <c r="E217" i="9" s="1"/>
  <c r="D216" i="9"/>
  <c r="E216" i="9" s="1"/>
  <c r="E215" i="9" s="1"/>
  <c r="D215" i="9"/>
  <c r="C215" i="9"/>
  <c r="E214" i="9"/>
  <c r="D214" i="9"/>
  <c r="D213" i="9"/>
  <c r="C212" i="9"/>
  <c r="D211" i="9"/>
  <c r="D210" i="9" s="1"/>
  <c r="C210" i="9"/>
  <c r="D209" i="9"/>
  <c r="D207" i="9" s="1"/>
  <c r="E207" i="9"/>
  <c r="C207" i="9"/>
  <c r="E206" i="9"/>
  <c r="D206" i="9"/>
  <c r="D205" i="9"/>
  <c r="E205" i="9" s="1"/>
  <c r="E204" i="9"/>
  <c r="D204" i="9"/>
  <c r="C204" i="9"/>
  <c r="E200" i="9"/>
  <c r="D200" i="9"/>
  <c r="C199" i="9"/>
  <c r="D199" i="9" s="1"/>
  <c r="E199" i="9" s="1"/>
  <c r="D198" i="9"/>
  <c r="E198" i="9" s="1"/>
  <c r="D197" i="9"/>
  <c r="D196" i="9" s="1"/>
  <c r="C196" i="9"/>
  <c r="D195" i="9"/>
  <c r="E195" i="9" s="1"/>
  <c r="E194" i="9" s="1"/>
  <c r="D194" i="9"/>
  <c r="C194" i="9"/>
  <c r="D193" i="9"/>
  <c r="E193" i="9" s="1"/>
  <c r="E192" i="9"/>
  <c r="D192" i="9"/>
  <c r="C192" i="9"/>
  <c r="D191" i="9"/>
  <c r="E191" i="9" s="1"/>
  <c r="E190" i="9"/>
  <c r="D190" i="9"/>
  <c r="D189" i="9"/>
  <c r="C189" i="9"/>
  <c r="E188" i="9"/>
  <c r="D188" i="9"/>
  <c r="D187" i="9"/>
  <c r="E187" i="9" s="1"/>
  <c r="E185" i="9" s="1"/>
  <c r="D186" i="9"/>
  <c r="E186" i="9" s="1"/>
  <c r="D185" i="9"/>
  <c r="D201" i="9" s="1"/>
  <c r="D202" i="9" s="1"/>
  <c r="D203" i="9" s="1"/>
  <c r="C185" i="9"/>
  <c r="E184" i="9"/>
  <c r="E181" i="9" s="1"/>
  <c r="D184" i="9"/>
  <c r="E183" i="9"/>
  <c r="D183" i="9"/>
  <c r="D182" i="9"/>
  <c r="E182" i="9" s="1"/>
  <c r="D181" i="9"/>
  <c r="C181" i="9"/>
  <c r="C201" i="9" s="1"/>
  <c r="C202" i="9" s="1"/>
  <c r="C203" i="9" s="1"/>
  <c r="E180" i="9"/>
  <c r="E179" i="9" s="1"/>
  <c r="D180" i="9"/>
  <c r="D179" i="9" s="1"/>
  <c r="C179" i="9"/>
  <c r="D175" i="9"/>
  <c r="E175" i="9" s="1"/>
  <c r="E174" i="9" s="1"/>
  <c r="D174" i="9"/>
  <c r="C174" i="9"/>
  <c r="D173" i="9"/>
  <c r="C172" i="9"/>
  <c r="D171" i="9"/>
  <c r="D170" i="9" s="1"/>
  <c r="C170" i="9"/>
  <c r="D169" i="9"/>
  <c r="D168" i="9" s="1"/>
  <c r="C168" i="9"/>
  <c r="D167" i="9"/>
  <c r="E167" i="9" s="1"/>
  <c r="D166" i="9"/>
  <c r="E166" i="9" s="1"/>
  <c r="E165" i="9"/>
  <c r="D165" i="9"/>
  <c r="C165" i="9"/>
  <c r="E164" i="9"/>
  <c r="D164" i="9"/>
  <c r="D163" i="9"/>
  <c r="E163" i="9" s="1"/>
  <c r="E162" i="9"/>
  <c r="D162" i="9"/>
  <c r="C162" i="9"/>
  <c r="D161" i="9"/>
  <c r="D159" i="9" s="1"/>
  <c r="D160" i="9"/>
  <c r="E160" i="9" s="1"/>
  <c r="C159" i="9"/>
  <c r="D158" i="9"/>
  <c r="E157" i="9"/>
  <c r="D157" i="9"/>
  <c r="D156" i="9"/>
  <c r="E156" i="9" s="1"/>
  <c r="C155" i="9"/>
  <c r="D154" i="9"/>
  <c r="C153" i="9"/>
  <c r="D149" i="9"/>
  <c r="D148" i="9" s="1"/>
  <c r="E148" i="9"/>
  <c r="C148" i="9"/>
  <c r="C147" i="9"/>
  <c r="D147" i="9" s="1"/>
  <c r="E147" i="9" s="1"/>
  <c r="E146" i="9"/>
  <c r="D146" i="9"/>
  <c r="C146" i="9"/>
  <c r="C150" i="9" s="1"/>
  <c r="C151" i="9" s="1"/>
  <c r="C152" i="9" s="1"/>
  <c r="D145" i="9"/>
  <c r="D143" i="9" s="1"/>
  <c r="D144" i="9"/>
  <c r="E144" i="9" s="1"/>
  <c r="C143" i="9"/>
  <c r="D142" i="9"/>
  <c r="E141" i="9"/>
  <c r="D141" i="9"/>
  <c r="C140" i="9"/>
  <c r="D139" i="9"/>
  <c r="E139" i="9" s="1"/>
  <c r="E138" i="9" s="1"/>
  <c r="D138" i="9"/>
  <c r="C138" i="9"/>
  <c r="D137" i="9"/>
  <c r="D136" i="9"/>
  <c r="E136" i="9" s="1"/>
  <c r="C135" i="9"/>
  <c r="D134" i="9"/>
  <c r="E134" i="9" s="1"/>
  <c r="E133" i="9" s="1"/>
  <c r="D133" i="9"/>
  <c r="C133" i="9"/>
  <c r="E129" i="9"/>
  <c r="E128" i="9" s="1"/>
  <c r="D129" i="9"/>
  <c r="D128" i="9"/>
  <c r="C128" i="9"/>
  <c r="E126" i="9"/>
  <c r="D126" i="9"/>
  <c r="C126" i="9"/>
  <c r="E125" i="9"/>
  <c r="D125" i="9"/>
  <c r="D124" i="9"/>
  <c r="E124" i="9" s="1"/>
  <c r="E123" i="9"/>
  <c r="D123" i="9"/>
  <c r="C123" i="9"/>
  <c r="D122" i="9"/>
  <c r="D121" i="9" s="1"/>
  <c r="C121" i="9"/>
  <c r="D120" i="9"/>
  <c r="E120" i="9" s="1"/>
  <c r="D119" i="9"/>
  <c r="D118" i="9" s="1"/>
  <c r="C118" i="9"/>
  <c r="C117" i="9"/>
  <c r="D117" i="9" s="1"/>
  <c r="E117" i="9" s="1"/>
  <c r="C116" i="9"/>
  <c r="C114" i="9" s="1"/>
  <c r="D115" i="9"/>
  <c r="E115" i="9" s="1"/>
  <c r="D113" i="9"/>
  <c r="D112" i="9" s="1"/>
  <c r="C112" i="9"/>
  <c r="D111" i="9"/>
  <c r="E111" i="9" s="1"/>
  <c r="E110" i="9"/>
  <c r="D110" i="9"/>
  <c r="D109" i="9"/>
  <c r="C108" i="9"/>
  <c r="D107" i="9"/>
  <c r="E107" i="9" s="1"/>
  <c r="E106" i="9" s="1"/>
  <c r="D106" i="9"/>
  <c r="C106" i="9"/>
  <c r="D105" i="9"/>
  <c r="E105" i="9" s="1"/>
  <c r="D104" i="9"/>
  <c r="E104" i="9" s="1"/>
  <c r="E103" i="9" s="1"/>
  <c r="D103" i="9"/>
  <c r="C103" i="9"/>
  <c r="D99" i="9"/>
  <c r="D98" i="9"/>
  <c r="C97" i="9"/>
  <c r="E96" i="9"/>
  <c r="D96" i="9"/>
  <c r="D95" i="9"/>
  <c r="E95" i="9" s="1"/>
  <c r="E94" i="9" s="1"/>
  <c r="C94" i="9"/>
  <c r="D93" i="9"/>
  <c r="D92" i="9" s="1"/>
  <c r="C92" i="9"/>
  <c r="D91" i="9"/>
  <c r="D90" i="9"/>
  <c r="E90" i="9" s="1"/>
  <c r="E89" i="9"/>
  <c r="D89" i="9"/>
  <c r="D88" i="9"/>
  <c r="E88" i="9" s="1"/>
  <c r="C87" i="9"/>
  <c r="D86" i="9"/>
  <c r="D85" i="9" s="1"/>
  <c r="C85" i="9"/>
  <c r="D84" i="9"/>
  <c r="E84" i="9" s="1"/>
  <c r="D83" i="9"/>
  <c r="E83" i="9" s="1"/>
  <c r="E82" i="9"/>
  <c r="D82" i="9"/>
  <c r="D81" i="9"/>
  <c r="C81" i="9"/>
  <c r="D80" i="9"/>
  <c r="E80" i="9" s="1"/>
  <c r="E79" i="9" s="1"/>
  <c r="D79" i="9"/>
  <c r="C79" i="9"/>
  <c r="F78" i="9"/>
  <c r="E78" i="9"/>
  <c r="D78" i="9"/>
  <c r="D77" i="9"/>
  <c r="E77" i="9" s="1"/>
  <c r="E76" i="9" s="1"/>
  <c r="D76" i="9"/>
  <c r="C76" i="9"/>
  <c r="C75" i="9"/>
  <c r="C72" i="9" s="1"/>
  <c r="D74" i="9"/>
  <c r="E74" i="9" s="1"/>
  <c r="D73" i="9"/>
  <c r="E70" i="9"/>
  <c r="D70" i="9"/>
  <c r="C70" i="9"/>
  <c r="D68" i="9"/>
  <c r="E68" i="9" s="1"/>
  <c r="E66" i="9" s="1"/>
  <c r="D67" i="9"/>
  <c r="E67" i="9" s="1"/>
  <c r="D66" i="9"/>
  <c r="C66" i="9"/>
  <c r="D65" i="9"/>
  <c r="D61" i="9" s="1"/>
  <c r="E64" i="9"/>
  <c r="D64" i="9"/>
  <c r="D63" i="9"/>
  <c r="E63" i="9" s="1"/>
  <c r="D62" i="9"/>
  <c r="E62" i="9" s="1"/>
  <c r="C61" i="9"/>
  <c r="D60" i="9"/>
  <c r="E60" i="9" s="1"/>
  <c r="D59" i="9"/>
  <c r="E58" i="9"/>
  <c r="D58" i="9"/>
  <c r="C58" i="9"/>
  <c r="E57" i="9"/>
  <c r="E55" i="9" s="1"/>
  <c r="D57" i="9"/>
  <c r="D55" i="9" s="1"/>
  <c r="C55" i="9"/>
  <c r="D51" i="9"/>
  <c r="E51" i="9" s="1"/>
  <c r="E49" i="9" s="1"/>
  <c r="E50" i="9"/>
  <c r="D50" i="9"/>
  <c r="D49" i="9"/>
  <c r="C49" i="9"/>
  <c r="D48" i="9"/>
  <c r="E48" i="9" s="1"/>
  <c r="D47" i="9"/>
  <c r="C46" i="9"/>
  <c r="D45" i="9"/>
  <c r="E45" i="9" s="1"/>
  <c r="E44" i="9"/>
  <c r="D44" i="9"/>
  <c r="C44" i="9"/>
  <c r="C43" i="9"/>
  <c r="D42" i="9"/>
  <c r="E42" i="9" s="1"/>
  <c r="D41" i="9"/>
  <c r="E41" i="9" s="1"/>
  <c r="D38" i="9"/>
  <c r="D37" i="9" s="1"/>
  <c r="C37" i="9"/>
  <c r="E36" i="9"/>
  <c r="D36" i="9"/>
  <c r="D35" i="9"/>
  <c r="E35" i="9" s="1"/>
  <c r="D34" i="9"/>
  <c r="D33" i="9" s="1"/>
  <c r="C34" i="9"/>
  <c r="C33" i="9" s="1"/>
  <c r="D32" i="9"/>
  <c r="E32" i="9" s="1"/>
  <c r="E31" i="9"/>
  <c r="D31" i="9"/>
  <c r="C31" i="9"/>
  <c r="E30" i="9"/>
  <c r="E28" i="9" s="1"/>
  <c r="D30" i="9"/>
  <c r="D29" i="9"/>
  <c r="E29" i="9" s="1"/>
  <c r="D28" i="9"/>
  <c r="C28" i="9"/>
  <c r="E24" i="9"/>
  <c r="D24" i="9"/>
  <c r="C24" i="9"/>
  <c r="D23" i="9"/>
  <c r="E23" i="9" s="1"/>
  <c r="E22" i="9"/>
  <c r="D22" i="9"/>
  <c r="C22" i="9"/>
  <c r="D21" i="9"/>
  <c r="E20" i="9"/>
  <c r="D20" i="9"/>
  <c r="D19" i="9"/>
  <c r="E19" i="9" s="1"/>
  <c r="C18" i="9"/>
  <c r="D17" i="9"/>
  <c r="D16" i="9"/>
  <c r="E16" i="9" s="1"/>
  <c r="E15" i="9"/>
  <c r="D15" i="9"/>
  <c r="D14" i="9"/>
  <c r="E14" i="9" s="1"/>
  <c r="C13" i="9"/>
  <c r="D12" i="9"/>
  <c r="E11" i="9"/>
  <c r="D11" i="9"/>
  <c r="C10" i="9"/>
  <c r="D9" i="9"/>
  <c r="E9" i="9" s="1"/>
  <c r="E8" i="9"/>
  <c r="E7" i="9" s="1"/>
  <c r="D8" i="9"/>
  <c r="D7" i="9" s="1"/>
  <c r="C7" i="9"/>
  <c r="E21" i="9" l="1"/>
  <c r="D18" i="9"/>
  <c r="E243" i="9"/>
  <c r="E239" i="9" s="1"/>
  <c r="E333" i="9"/>
  <c r="E332" i="9" s="1"/>
  <c r="E135" i="9"/>
  <c r="D325" i="9"/>
  <c r="D335" i="9" s="1"/>
  <c r="D336" i="9" s="1"/>
  <c r="D337" i="9" s="1"/>
  <c r="E326" i="9"/>
  <c r="E325" i="9" s="1"/>
  <c r="E38" i="9"/>
  <c r="E37" i="9" s="1"/>
  <c r="D75" i="9"/>
  <c r="E75" i="9" s="1"/>
  <c r="E140" i="9"/>
  <c r="D153" i="9"/>
  <c r="E154" i="9"/>
  <c r="E153" i="9" s="1"/>
  <c r="E91" i="9"/>
  <c r="E87" i="9" s="1"/>
  <c r="D87" i="9"/>
  <c r="D140" i="9"/>
  <c r="E142" i="9"/>
  <c r="E161" i="9"/>
  <c r="E159" i="9" s="1"/>
  <c r="E17" i="9"/>
  <c r="D13" i="9"/>
  <c r="E86" i="9"/>
  <c r="E85" i="9" s="1"/>
  <c r="E197" i="9"/>
  <c r="E196" i="9" s="1"/>
  <c r="C225" i="9"/>
  <c r="C226" i="9" s="1"/>
  <c r="C227" i="9" s="1"/>
  <c r="D277" i="9"/>
  <c r="E278" i="9"/>
  <c r="E277" i="9" s="1"/>
  <c r="E122" i="9"/>
  <c r="E121" i="9" s="1"/>
  <c r="E99" i="9"/>
  <c r="E97" i="9" s="1"/>
  <c r="D97" i="9"/>
  <c r="E201" i="9"/>
  <c r="E202" i="9" s="1"/>
  <c r="E203" i="9" s="1"/>
  <c r="E65" i="9"/>
  <c r="E61" i="9" s="1"/>
  <c r="E81" i="9"/>
  <c r="D94" i="9"/>
  <c r="C130" i="9"/>
  <c r="E145" i="9"/>
  <c r="E143" i="9" s="1"/>
  <c r="E150" i="9" s="1"/>
  <c r="E151" i="9" s="1"/>
  <c r="E152" i="9" s="1"/>
  <c r="E158" i="9"/>
  <c r="E155" i="9" s="1"/>
  <c r="E176" i="9" s="1"/>
  <c r="E177" i="9" s="1"/>
  <c r="E178" i="9" s="1"/>
  <c r="D155" i="9"/>
  <c r="E173" i="9"/>
  <c r="E172" i="9" s="1"/>
  <c r="D172" i="9"/>
  <c r="E213" i="9"/>
  <c r="E212" i="9" s="1"/>
  <c r="E225" i="9" s="1"/>
  <c r="E226" i="9" s="1"/>
  <c r="E227" i="9" s="1"/>
  <c r="D212" i="9"/>
  <c r="C259" i="9"/>
  <c r="C260" i="9" s="1"/>
  <c r="C261" i="9" s="1"/>
  <c r="E319" i="9"/>
  <c r="E294" i="9"/>
  <c r="E292" i="9" s="1"/>
  <c r="E309" i="9" s="1"/>
  <c r="E310" i="9" s="1"/>
  <c r="E311" i="9" s="1"/>
  <c r="D292" i="9"/>
  <c r="E169" i="9"/>
  <c r="E168" i="9" s="1"/>
  <c r="E34" i="9"/>
  <c r="E33" i="9" s="1"/>
  <c r="E137" i="9"/>
  <c r="D135" i="9"/>
  <c r="D150" i="9" s="1"/>
  <c r="D151" i="9" s="1"/>
  <c r="D152" i="9" s="1"/>
  <c r="D309" i="9"/>
  <c r="D310" i="9" s="1"/>
  <c r="D311" i="9" s="1"/>
  <c r="C176" i="9"/>
  <c r="C177" i="9" s="1"/>
  <c r="C178" i="9" s="1"/>
  <c r="D225" i="9"/>
  <c r="D226" i="9" s="1"/>
  <c r="D227" i="9" s="1"/>
  <c r="E12" i="9"/>
  <c r="E10" i="9" s="1"/>
  <c r="D10" i="9"/>
  <c r="E13" i="9"/>
  <c r="E18" i="9"/>
  <c r="D247" i="9"/>
  <c r="D259" i="9" s="1"/>
  <c r="D260" i="9" s="1"/>
  <c r="D261" i="9" s="1"/>
  <c r="D364" i="9"/>
  <c r="D72" i="9"/>
  <c r="D116" i="9"/>
  <c r="E189" i="9"/>
  <c r="E211" i="9"/>
  <c r="E210" i="9" s="1"/>
  <c r="E232" i="9"/>
  <c r="E231" i="9" s="1"/>
  <c r="E299" i="9"/>
  <c r="E298" i="9" s="1"/>
  <c r="C338" i="9"/>
  <c r="D341" i="9"/>
  <c r="D338" i="9" s="1"/>
  <c r="E73" i="9"/>
  <c r="E72" i="9" s="1"/>
  <c r="C100" i="9"/>
  <c r="D108" i="9"/>
  <c r="E171" i="9"/>
  <c r="E170" i="9" s="1"/>
  <c r="D269" i="9"/>
  <c r="D287" i="9"/>
  <c r="C348" i="9"/>
  <c r="C349" i="9" s="1"/>
  <c r="C350" i="9" s="1"/>
  <c r="D39" i="9"/>
  <c r="E119" i="9"/>
  <c r="E118" i="9" s="1"/>
  <c r="E346" i="9"/>
  <c r="E345" i="9" s="1"/>
  <c r="D46" i="9"/>
  <c r="E93" i="9"/>
  <c r="E92" i="9" s="1"/>
  <c r="E109" i="9"/>
  <c r="E108" i="9" s="1"/>
  <c r="E113" i="9"/>
  <c r="E112" i="9" s="1"/>
  <c r="E254" i="9"/>
  <c r="E253" i="9" s="1"/>
  <c r="E259" i="9" s="1"/>
  <c r="E260" i="9" s="1"/>
  <c r="E261" i="9" s="1"/>
  <c r="E270" i="9"/>
  <c r="E269" i="9" s="1"/>
  <c r="E275" i="9"/>
  <c r="E274" i="9" s="1"/>
  <c r="C282" i="9"/>
  <c r="C283" i="9" s="1"/>
  <c r="C284" i="9" s="1"/>
  <c r="E288" i="9"/>
  <c r="E287" i="9" s="1"/>
  <c r="D322" i="9"/>
  <c r="D43" i="9"/>
  <c r="E43" i="9" s="1"/>
  <c r="E39" i="9" s="1"/>
  <c r="C39" i="9"/>
  <c r="C52" i="9" s="1"/>
  <c r="E47" i="9"/>
  <c r="E46" i="9" s="1"/>
  <c r="E52" i="9" s="1"/>
  <c r="E53" i="9" s="1"/>
  <c r="E54" i="9" s="1"/>
  <c r="E324" i="9"/>
  <c r="E322" i="9" s="1"/>
  <c r="D343" i="9"/>
  <c r="C53" i="9" l="1"/>
  <c r="C54" i="9" s="1"/>
  <c r="F51" i="9"/>
  <c r="E100" i="9"/>
  <c r="E101" i="9" s="1"/>
  <c r="E102" i="9" s="1"/>
  <c r="D342" i="9"/>
  <c r="D348" i="9" s="1"/>
  <c r="D349" i="9" s="1"/>
  <c r="D350" i="9" s="1"/>
  <c r="E343" i="9"/>
  <c r="E342" i="9" s="1"/>
  <c r="E348" i="9" s="1"/>
  <c r="E349" i="9" s="1"/>
  <c r="E350" i="9" s="1"/>
  <c r="C101" i="9"/>
  <c r="C102" i="9" s="1"/>
  <c r="C351" i="9" s="1"/>
  <c r="C374" i="9" s="1"/>
  <c r="E116" i="9"/>
  <c r="E114" i="9" s="1"/>
  <c r="E130" i="9" s="1"/>
  <c r="E131" i="9" s="1"/>
  <c r="E132" i="9" s="1"/>
  <c r="D114" i="9"/>
  <c r="D130" i="9" s="1"/>
  <c r="D131" i="9" s="1"/>
  <c r="D132" i="9" s="1"/>
  <c r="E335" i="9"/>
  <c r="E336" i="9" s="1"/>
  <c r="E337" i="9" s="1"/>
  <c r="D100" i="9"/>
  <c r="D101" i="9" s="1"/>
  <c r="D102" i="9" s="1"/>
  <c r="D363" i="9"/>
  <c r="D370" i="9" s="1"/>
  <c r="D371" i="9" s="1"/>
  <c r="D372" i="9" s="1"/>
  <c r="D373" i="9" s="1"/>
  <c r="E364" i="9"/>
  <c r="E363" i="9" s="1"/>
  <c r="E370" i="9" s="1"/>
  <c r="E371" i="9" s="1"/>
  <c r="E372" i="9" s="1"/>
  <c r="E373" i="9" s="1"/>
  <c r="D176" i="9"/>
  <c r="D177" i="9" s="1"/>
  <c r="D178" i="9" s="1"/>
  <c r="E282" i="9"/>
  <c r="E283" i="9" s="1"/>
  <c r="E284" i="9" s="1"/>
  <c r="C131" i="9"/>
  <c r="C132" i="9" s="1"/>
  <c r="G130" i="9"/>
  <c r="D52" i="9"/>
  <c r="D53" i="9" s="1"/>
  <c r="D54" i="9" s="1"/>
  <c r="D282" i="9"/>
  <c r="D283" i="9" s="1"/>
  <c r="D284" i="9" s="1"/>
  <c r="E351" i="9" l="1"/>
  <c r="E374" i="9"/>
  <c r="D351" i="9"/>
  <c r="D354" i="9" s="1"/>
  <c r="D374" i="9" l="1"/>
  <c r="B93" i="21" l="1"/>
  <c r="J24" i="35"/>
  <c r="C22" i="30"/>
  <c r="F25" i="31" l="1"/>
  <c r="E44" i="33"/>
  <c r="E56" i="33"/>
  <c r="F51" i="28"/>
  <c r="F50" i="28"/>
  <c r="F21" i="31"/>
  <c r="F22" i="31" s="1"/>
  <c r="B113" i="23"/>
  <c r="E46" i="10"/>
  <c r="G8" i="38"/>
  <c r="B70" i="20"/>
  <c r="B40" i="20"/>
  <c r="F20" i="31" l="1"/>
  <c r="F47" i="28"/>
  <c r="C15" i="40"/>
  <c r="B31" i="40"/>
  <c r="F4" i="30" l="1"/>
  <c r="F6" i="30"/>
  <c r="F11" i="30"/>
  <c r="F12" i="30"/>
  <c r="F13" i="30"/>
  <c r="F14" i="30"/>
  <c r="F15" i="30"/>
  <c r="F16" i="30"/>
  <c r="F17" i="30"/>
  <c r="F18" i="30"/>
  <c r="F19" i="30"/>
  <c r="F20" i="30"/>
  <c r="F21" i="30"/>
  <c r="F27" i="30"/>
  <c r="F28" i="30"/>
  <c r="F29" i="30"/>
  <c r="F30" i="30"/>
  <c r="F31" i="30"/>
  <c r="F3" i="30"/>
  <c r="E150" i="33"/>
  <c r="E15" i="31"/>
  <c r="G9" i="38"/>
  <c r="E149" i="33"/>
  <c r="F11" i="35" l="1"/>
  <c r="B11" i="30"/>
  <c r="E64" i="19"/>
  <c r="B188" i="1"/>
  <c r="D186" i="1"/>
  <c r="C185" i="1"/>
  <c r="C186" i="1"/>
  <c r="E39" i="28"/>
  <c r="E17" i="28"/>
  <c r="E43" i="28" s="1"/>
  <c r="F17" i="28"/>
  <c r="E6" i="28"/>
  <c r="D36" i="30" l="1"/>
  <c r="B13" i="25"/>
  <c r="B12" i="25"/>
  <c r="B11" i="25"/>
  <c r="B10" i="25"/>
  <c r="B9" i="25"/>
  <c r="B94" i="24"/>
  <c r="B23" i="40"/>
  <c r="B24" i="35"/>
  <c r="D29" i="35"/>
  <c r="D4" i="35"/>
  <c r="F4" i="39"/>
  <c r="F6" i="39"/>
  <c r="F7" i="39"/>
  <c r="F8" i="39"/>
  <c r="F9" i="39"/>
  <c r="F10" i="39"/>
  <c r="F11" i="39"/>
  <c r="F12" i="39"/>
  <c r="F13" i="39"/>
  <c r="F14" i="39"/>
  <c r="F3" i="39"/>
  <c r="E15" i="39"/>
  <c r="D4" i="39"/>
  <c r="D6" i="39"/>
  <c r="D7" i="39"/>
  <c r="D9" i="39"/>
  <c r="D10" i="39"/>
  <c r="D11" i="39"/>
  <c r="D12" i="39"/>
  <c r="E13" i="31"/>
  <c r="F6" i="31" s="1"/>
  <c r="D13" i="31"/>
  <c r="B147" i="33"/>
  <c r="B62" i="18"/>
  <c r="B293" i="33"/>
  <c r="B292" i="33"/>
  <c r="D31" i="40"/>
  <c r="B19" i="40"/>
  <c r="D19" i="40" s="1"/>
  <c r="B116" i="1"/>
  <c r="B185" i="1"/>
  <c r="B31" i="23"/>
  <c r="B60" i="18"/>
  <c r="B61" i="18"/>
  <c r="B91" i="21"/>
  <c r="B68" i="18"/>
  <c r="C5" i="40"/>
  <c r="D5" i="40" s="1"/>
  <c r="F32" i="40"/>
  <c r="C17" i="40"/>
  <c r="D15" i="40"/>
  <c r="D16" i="40"/>
  <c r="C18" i="40"/>
  <c r="D18" i="40" s="1"/>
  <c r="B14" i="40"/>
  <c r="D14" i="40" s="1"/>
  <c r="B29" i="40"/>
  <c r="D29" i="40" s="1"/>
  <c r="B27" i="40"/>
  <c r="D27" i="40" s="1"/>
  <c r="D4" i="40"/>
  <c r="D9" i="40"/>
  <c r="D10" i="40"/>
  <c r="D11" i="40"/>
  <c r="D12" i="40"/>
  <c r="D13" i="40"/>
  <c r="D20" i="40"/>
  <c r="D21" i="40"/>
  <c r="D22" i="40"/>
  <c r="D24" i="40"/>
  <c r="D25" i="40"/>
  <c r="D26" i="40"/>
  <c r="D28" i="40"/>
  <c r="D30" i="40"/>
  <c r="C23" i="40"/>
  <c r="C11" i="40"/>
  <c r="C98" i="26"/>
  <c r="D98" i="26"/>
  <c r="C93" i="26"/>
  <c r="D93" i="26"/>
  <c r="B98" i="26"/>
  <c r="C105" i="26"/>
  <c r="D105" i="26" s="1"/>
  <c r="C104" i="26"/>
  <c r="D104" i="26" s="1"/>
  <c r="C103" i="26"/>
  <c r="D103" i="26" s="1"/>
  <c r="B102" i="26"/>
  <c r="C102" i="26" s="1"/>
  <c r="D102" i="26" s="1"/>
  <c r="C101" i="26"/>
  <c r="D101" i="26" s="1"/>
  <c r="B100" i="26"/>
  <c r="B99" i="26" s="1"/>
  <c r="C97" i="26"/>
  <c r="D97" i="26" s="1"/>
  <c r="C96" i="26"/>
  <c r="D95" i="26"/>
  <c r="C95" i="26"/>
  <c r="C94" i="26"/>
  <c r="D94" i="26" s="1"/>
  <c r="B93" i="26"/>
  <c r="C92" i="26"/>
  <c r="C90" i="26" s="1"/>
  <c r="C91" i="26"/>
  <c r="D91" i="26" s="1"/>
  <c r="B90" i="26"/>
  <c r="C89" i="26"/>
  <c r="D89" i="26" s="1"/>
  <c r="D88" i="26"/>
  <c r="C88" i="26"/>
  <c r="C87" i="26"/>
  <c r="D87" i="26" s="1"/>
  <c r="C86" i="26"/>
  <c r="D86" i="26" s="1"/>
  <c r="C85" i="26"/>
  <c r="D85" i="26" s="1"/>
  <c r="D84" i="26"/>
  <c r="C84" i="26"/>
  <c r="C83" i="26"/>
  <c r="D83" i="26" s="1"/>
  <c r="C82" i="26"/>
  <c r="D82" i="26" s="1"/>
  <c r="C81" i="26"/>
  <c r="D81" i="26" s="1"/>
  <c r="D80" i="26"/>
  <c r="C80" i="26"/>
  <c r="C79" i="26"/>
  <c r="D79" i="26" s="1"/>
  <c r="C78" i="26"/>
  <c r="D78" i="26" s="1"/>
  <c r="C77" i="26"/>
  <c r="D77" i="26" s="1"/>
  <c r="D76" i="26"/>
  <c r="C76" i="26"/>
  <c r="C75" i="26"/>
  <c r="D75" i="26" s="1"/>
  <c r="C74" i="26"/>
  <c r="D74" i="26" s="1"/>
  <c r="C73" i="26"/>
  <c r="D73" i="26" s="1"/>
  <c r="D72" i="26"/>
  <c r="C72" i="26"/>
  <c r="C71" i="26"/>
  <c r="D71" i="26" s="1"/>
  <c r="C70" i="26"/>
  <c r="D70" i="26" s="1"/>
  <c r="C69" i="26"/>
  <c r="D69" i="26" s="1"/>
  <c r="D68" i="26"/>
  <c r="C68" i="26"/>
  <c r="C67" i="26"/>
  <c r="D67" i="26" s="1"/>
  <c r="C66" i="26"/>
  <c r="D66" i="26" s="1"/>
  <c r="C65" i="26"/>
  <c r="D65" i="26" s="1"/>
  <c r="D64" i="26"/>
  <c r="C64" i="26"/>
  <c r="C63" i="26"/>
  <c r="D63" i="26" s="1"/>
  <c r="C62" i="26"/>
  <c r="D62" i="26" s="1"/>
  <c r="C61" i="26"/>
  <c r="D61" i="26" s="1"/>
  <c r="D60" i="26"/>
  <c r="C60" i="26"/>
  <c r="C59" i="26"/>
  <c r="D59" i="26" s="1"/>
  <c r="C58" i="26"/>
  <c r="D58" i="26" s="1"/>
  <c r="C57" i="26"/>
  <c r="D57" i="26" s="1"/>
  <c r="D56" i="26"/>
  <c r="C56" i="26"/>
  <c r="C55" i="26"/>
  <c r="D55" i="26" s="1"/>
  <c r="C54" i="26"/>
  <c r="D54" i="26" s="1"/>
  <c r="C53" i="26"/>
  <c r="D53" i="26" s="1"/>
  <c r="D52" i="26"/>
  <c r="C52" i="26"/>
  <c r="C51" i="26"/>
  <c r="D51" i="26" s="1"/>
  <c r="C50" i="26"/>
  <c r="D50" i="26" s="1"/>
  <c r="C49" i="26"/>
  <c r="D49" i="26" s="1"/>
  <c r="D48" i="26"/>
  <c r="C48" i="26"/>
  <c r="C47" i="26"/>
  <c r="D47" i="26" s="1"/>
  <c r="C46" i="26"/>
  <c r="D46" i="26" s="1"/>
  <c r="C45" i="26"/>
  <c r="D45" i="26" s="1"/>
  <c r="D44" i="26"/>
  <c r="C44" i="26"/>
  <c r="C43" i="26"/>
  <c r="D43" i="26" s="1"/>
  <c r="C42" i="26"/>
  <c r="D42" i="26" s="1"/>
  <c r="C41" i="26"/>
  <c r="D41" i="26" s="1"/>
  <c r="D40" i="26"/>
  <c r="C40" i="26"/>
  <c r="C39" i="26"/>
  <c r="D39" i="26" s="1"/>
  <c r="C38" i="26"/>
  <c r="D38" i="26" s="1"/>
  <c r="C37" i="26"/>
  <c r="D37" i="26" s="1"/>
  <c r="D36" i="26"/>
  <c r="C36" i="26"/>
  <c r="C35" i="26"/>
  <c r="D35" i="26" s="1"/>
  <c r="C34" i="26"/>
  <c r="D34" i="26" s="1"/>
  <c r="C33" i="26"/>
  <c r="D33" i="26" s="1"/>
  <c r="D32" i="26"/>
  <c r="C32" i="26"/>
  <c r="C31" i="26"/>
  <c r="D31" i="26" s="1"/>
  <c r="C30" i="26"/>
  <c r="D30" i="26" s="1"/>
  <c r="C29" i="26"/>
  <c r="B28" i="26"/>
  <c r="C27" i="26"/>
  <c r="D27" i="26" s="1"/>
  <c r="C26" i="26"/>
  <c r="D26" i="26" s="1"/>
  <c r="C25" i="26"/>
  <c r="D25" i="26" s="1"/>
  <c r="C24" i="26"/>
  <c r="D24" i="26" s="1"/>
  <c r="C23" i="26"/>
  <c r="D23" i="26" s="1"/>
  <c r="C22" i="26"/>
  <c r="D22" i="26" s="1"/>
  <c r="D21" i="26"/>
  <c r="C21" i="26"/>
  <c r="C20" i="26"/>
  <c r="D20" i="26" s="1"/>
  <c r="C19" i="26"/>
  <c r="D19" i="26" s="1"/>
  <c r="C18" i="26"/>
  <c r="D18" i="26" s="1"/>
  <c r="C17" i="26"/>
  <c r="D17" i="26" s="1"/>
  <c r="C16" i="26"/>
  <c r="D16" i="26" s="1"/>
  <c r="C15" i="26"/>
  <c r="D15" i="26" s="1"/>
  <c r="C14" i="26"/>
  <c r="D14" i="26" s="1"/>
  <c r="D13" i="26"/>
  <c r="C13" i="26"/>
  <c r="C12" i="26"/>
  <c r="D12" i="26" s="1"/>
  <c r="C11" i="26"/>
  <c r="D11" i="26" s="1"/>
  <c r="C10" i="26"/>
  <c r="D10" i="26" s="1"/>
  <c r="C9" i="26"/>
  <c r="C6" i="26" s="1"/>
  <c r="C8" i="26"/>
  <c r="D8" i="26" s="1"/>
  <c r="C7" i="26"/>
  <c r="D7" i="26" s="1"/>
  <c r="B6" i="26"/>
  <c r="C8" i="40"/>
  <c r="D8" i="40" s="1"/>
  <c r="C7" i="40"/>
  <c r="D7" i="40" s="1"/>
  <c r="B6" i="40"/>
  <c r="C6" i="40"/>
  <c r="C4" i="40"/>
  <c r="C3" i="40"/>
  <c r="D3" i="40" s="1"/>
  <c r="D6" i="40" l="1"/>
  <c r="D23" i="40"/>
  <c r="C32" i="40"/>
  <c r="D17" i="40"/>
  <c r="D32" i="40" s="1"/>
  <c r="B32" i="40"/>
  <c r="D9" i="26"/>
  <c r="C100" i="26"/>
  <c r="C28" i="26"/>
  <c r="D29" i="26"/>
  <c r="D28" i="26" s="1"/>
  <c r="B106" i="26"/>
  <c r="C106" i="26" s="1"/>
  <c r="D106" i="26" s="1"/>
  <c r="D92" i="26"/>
  <c r="D90" i="26" s="1"/>
  <c r="D6" i="26"/>
  <c r="D96" i="26"/>
  <c r="C99" i="26" l="1"/>
  <c r="D100" i="26"/>
  <c r="D99" i="26" s="1"/>
  <c r="F15" i="31" l="1"/>
  <c r="E104" i="24"/>
  <c r="E103" i="24"/>
  <c r="E101" i="24"/>
  <c r="E100" i="24"/>
  <c r="H19" i="38"/>
  <c r="G44" i="28"/>
  <c r="F5" i="31"/>
  <c r="H42" i="28"/>
  <c r="C4" i="30" l="1"/>
  <c r="C10" i="30"/>
  <c r="C12" i="30"/>
  <c r="C13" i="30"/>
  <c r="C14" i="30"/>
  <c r="C18" i="30"/>
  <c r="C20" i="30"/>
  <c r="C21" i="30"/>
  <c r="C24" i="30"/>
  <c r="C27" i="30"/>
  <c r="C28" i="30"/>
  <c r="C29" i="30"/>
  <c r="C30" i="30"/>
  <c r="C31" i="30"/>
  <c r="C68" i="18"/>
  <c r="D68" i="18" s="1"/>
  <c r="F41" i="28"/>
  <c r="K12" i="35"/>
  <c r="K13" i="35"/>
  <c r="K14" i="35"/>
  <c r="K18" i="35"/>
  <c r="K20" i="35"/>
  <c r="K21" i="35"/>
  <c r="K23" i="35"/>
  <c r="K24" i="35"/>
  <c r="K28" i="35"/>
  <c r="K29" i="35"/>
  <c r="K30" i="35"/>
  <c r="G5" i="35"/>
  <c r="G4" i="35"/>
  <c r="I4" i="35"/>
  <c r="I10" i="35"/>
  <c r="I12" i="35"/>
  <c r="I13" i="35"/>
  <c r="I14" i="35"/>
  <c r="I18" i="35"/>
  <c r="I20" i="35"/>
  <c r="I21" i="35"/>
  <c r="I22" i="35"/>
  <c r="I23" i="35"/>
  <c r="I24" i="35"/>
  <c r="I27" i="35"/>
  <c r="I28" i="35"/>
  <c r="I30" i="35"/>
  <c r="I31" i="35"/>
  <c r="H6" i="35"/>
  <c r="B15" i="20"/>
  <c r="B12" i="20"/>
  <c r="B10" i="20"/>
  <c r="B6" i="20"/>
  <c r="E15" i="24"/>
  <c r="E88" i="24" s="1"/>
  <c r="E21" i="24"/>
  <c r="E22" i="24"/>
  <c r="E23" i="24"/>
  <c r="E24" i="24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13" i="18"/>
  <c r="E19" i="20"/>
  <c r="E25" i="21"/>
  <c r="E26" i="21"/>
  <c r="E27" i="21"/>
  <c r="E28" i="21"/>
  <c r="E29" i="21"/>
  <c r="E30" i="21"/>
  <c r="E31" i="21"/>
  <c r="E32" i="21"/>
  <c r="E33" i="21"/>
  <c r="F40" i="28"/>
  <c r="B60" i="1"/>
  <c r="B63" i="1"/>
  <c r="B58" i="1"/>
  <c r="B248" i="1"/>
  <c r="E44" i="10"/>
  <c r="C139" i="12"/>
  <c r="C70" i="12"/>
  <c r="C67" i="12"/>
  <c r="B127" i="19"/>
  <c r="B111" i="23"/>
  <c r="E72" i="18"/>
  <c r="B64" i="18"/>
  <c r="B374" i="24"/>
  <c r="E24" i="31"/>
  <c r="E23" i="31"/>
  <c r="B67" i="18"/>
  <c r="B41" i="20"/>
  <c r="F7" i="31"/>
  <c r="H5" i="35" s="1"/>
  <c r="F8" i="31"/>
  <c r="B88" i="21" s="1"/>
  <c r="F9" i="31"/>
  <c r="H11" i="35" s="1"/>
  <c r="F10" i="31"/>
  <c r="B376" i="24" s="1"/>
  <c r="F11" i="31"/>
  <c r="H15" i="35" s="1"/>
  <c r="F12" i="31"/>
  <c r="H19" i="35" s="1"/>
  <c r="E17" i="31"/>
  <c r="E145" i="33"/>
  <c r="B56" i="33"/>
  <c r="E12" i="39"/>
  <c r="E10" i="39"/>
  <c r="B8" i="39"/>
  <c r="C5" i="39"/>
  <c r="C15" i="39" s="1"/>
  <c r="B5" i="39"/>
  <c r="E4" i="39"/>
  <c r="F20" i="38"/>
  <c r="F21" i="38" s="1"/>
  <c r="E20" i="38"/>
  <c r="D20" i="38"/>
  <c r="D21" i="38" s="1"/>
  <c r="C20" i="38"/>
  <c r="I18" i="38"/>
  <c r="H18" i="38"/>
  <c r="I17" i="38"/>
  <c r="H17" i="38"/>
  <c r="H16" i="38"/>
  <c r="H15" i="38"/>
  <c r="I15" i="38" s="1"/>
  <c r="H14" i="38"/>
  <c r="G14" i="38"/>
  <c r="H13" i="38"/>
  <c r="H12" i="38"/>
  <c r="D11" i="38"/>
  <c r="C11" i="38"/>
  <c r="C21" i="38" s="1"/>
  <c r="H10" i="38"/>
  <c r="E10" i="38"/>
  <c r="E9" i="38"/>
  <c r="H9" i="38" s="1"/>
  <c r="I9" i="38" s="1"/>
  <c r="E8" i="38"/>
  <c r="H7" i="38"/>
  <c r="E7" i="38"/>
  <c r="E6" i="38"/>
  <c r="G6" i="38" s="1"/>
  <c r="H6" i="38" s="1"/>
  <c r="H5" i="38"/>
  <c r="E5" i="38"/>
  <c r="H4" i="38"/>
  <c r="E4" i="38"/>
  <c r="C56" i="18"/>
  <c r="D56" i="18"/>
  <c r="C42" i="24"/>
  <c r="D42" i="24"/>
  <c r="C33" i="24"/>
  <c r="D33" i="24"/>
  <c r="C24" i="24"/>
  <c r="D24" i="24"/>
  <c r="C180" i="19"/>
  <c r="D180" i="19"/>
  <c r="E24" i="21" l="1"/>
  <c r="D8" i="39"/>
  <c r="B15" i="39"/>
  <c r="D5" i="39"/>
  <c r="F13" i="31"/>
  <c r="F16" i="31" s="1"/>
  <c r="H3" i="35"/>
  <c r="B61" i="1"/>
  <c r="B61" i="19"/>
  <c r="H7" i="35"/>
  <c r="H8" i="35"/>
  <c r="B110" i="23"/>
  <c r="C69" i="12"/>
  <c r="C68" i="12" s="1"/>
  <c r="E11" i="38"/>
  <c r="E21" i="38"/>
  <c r="H20" i="38"/>
  <c r="I13" i="38"/>
  <c r="I20" i="38" s="1"/>
  <c r="G20" i="38"/>
  <c r="G16" i="35"/>
  <c r="G29" i="35"/>
  <c r="I29" i="35" s="1"/>
  <c r="G8" i="35"/>
  <c r="G3" i="35"/>
  <c r="D32" i="35"/>
  <c r="E14" i="35"/>
  <c r="E20" i="35"/>
  <c r="E21" i="35"/>
  <c r="E23" i="35"/>
  <c r="E24" i="35"/>
  <c r="C29" i="35"/>
  <c r="C16" i="35"/>
  <c r="C18" i="35"/>
  <c r="C17" i="35"/>
  <c r="M31" i="35"/>
  <c r="F30" i="35"/>
  <c r="L30" i="35" s="1"/>
  <c r="N30" i="35" s="1"/>
  <c r="F28" i="35"/>
  <c r="L28" i="35" s="1"/>
  <c r="N28" i="35" s="1"/>
  <c r="L24" i="35"/>
  <c r="N24" i="35" s="1"/>
  <c r="J21" i="35"/>
  <c r="J20" i="35"/>
  <c r="F19" i="35"/>
  <c r="F18" i="35"/>
  <c r="F17" i="35"/>
  <c r="E17" i="35" s="1"/>
  <c r="F16" i="35"/>
  <c r="E16" i="35" s="1"/>
  <c r="F15" i="35"/>
  <c r="J14" i="35"/>
  <c r="F14" i="35"/>
  <c r="F13" i="35"/>
  <c r="E13" i="35" s="1"/>
  <c r="F12" i="35"/>
  <c r="L12" i="35" s="1"/>
  <c r="N12" i="35" s="1"/>
  <c r="F6" i="35"/>
  <c r="B104" i="19"/>
  <c r="B143" i="1"/>
  <c r="C41" i="12"/>
  <c r="D15" i="39" l="1"/>
  <c r="F5" i="39"/>
  <c r="F15" i="39" s="1"/>
  <c r="H32" i="35"/>
  <c r="L20" i="35"/>
  <c r="L21" i="35"/>
  <c r="C32" i="35"/>
  <c r="E18" i="35"/>
  <c r="E28" i="35"/>
  <c r="G11" i="38"/>
  <c r="G21" i="38" s="1"/>
  <c r="G24" i="38" s="1"/>
  <c r="H8" i="38"/>
  <c r="E15" i="35"/>
  <c r="E30" i="35"/>
  <c r="E6" i="35"/>
  <c r="E12" i="35"/>
  <c r="E19" i="35"/>
  <c r="L14" i="35"/>
  <c r="N14" i="35" s="1"/>
  <c r="G32" i="35"/>
  <c r="M21" i="35"/>
  <c r="N21" i="35" s="1"/>
  <c r="M20" i="35"/>
  <c r="N20" i="35" s="1"/>
  <c r="G34" i="35" l="1"/>
  <c r="H11" i="38"/>
  <c r="H21" i="38" s="1"/>
  <c r="I8" i="38"/>
  <c r="I11" i="38" s="1"/>
  <c r="I21" i="38" l="1"/>
  <c r="I23" i="38" s="1"/>
  <c r="B30" i="30"/>
  <c r="C311" i="33"/>
  <c r="D311" i="33" s="1"/>
  <c r="C310" i="33"/>
  <c r="D310" i="33" s="1"/>
  <c r="D309" i="33"/>
  <c r="C309" i="33"/>
  <c r="D308" i="33"/>
  <c r="C308" i="33"/>
  <c r="B307" i="33"/>
  <c r="D306" i="33"/>
  <c r="C306" i="33"/>
  <c r="C305" i="33"/>
  <c r="D305" i="33" s="1"/>
  <c r="C304" i="33"/>
  <c r="D304" i="33" s="1"/>
  <c r="C303" i="33"/>
  <c r="D303" i="33" s="1"/>
  <c r="C302" i="33"/>
  <c r="D302" i="33" s="1"/>
  <c r="C301" i="33"/>
  <c r="D301" i="33" s="1"/>
  <c r="B301" i="33"/>
  <c r="C300" i="33"/>
  <c r="D300" i="33" s="1"/>
  <c r="B299" i="33"/>
  <c r="C299" i="33" s="1"/>
  <c r="D299" i="33" s="1"/>
  <c r="C298" i="33"/>
  <c r="D298" i="33" s="1"/>
  <c r="C297" i="33"/>
  <c r="D297" i="33" s="1"/>
  <c r="C296" i="33"/>
  <c r="D296" i="33" s="1"/>
  <c r="C295" i="33"/>
  <c r="D295" i="33" s="1"/>
  <c r="C294" i="33"/>
  <c r="D294" i="33" s="1"/>
  <c r="C292" i="33"/>
  <c r="D292" i="33" s="1"/>
  <c r="C291" i="33"/>
  <c r="D291" i="33" s="1"/>
  <c r="D290" i="33"/>
  <c r="C290" i="33"/>
  <c r="D289" i="33"/>
  <c r="C289" i="33"/>
  <c r="B288" i="33"/>
  <c r="C288" i="33" s="1"/>
  <c r="D288" i="33" s="1"/>
  <c r="C287" i="33"/>
  <c r="D287" i="33" s="1"/>
  <c r="B287" i="33"/>
  <c r="B286" i="33"/>
  <c r="C286" i="33" s="1"/>
  <c r="D286" i="33" s="1"/>
  <c r="C285" i="33"/>
  <c r="D285" i="33" s="1"/>
  <c r="C284" i="33"/>
  <c r="D284" i="33" s="1"/>
  <c r="C283" i="33"/>
  <c r="D283" i="33" s="1"/>
  <c r="B283" i="33"/>
  <c r="C282" i="33"/>
  <c r="D282" i="33" s="1"/>
  <c r="B281" i="33"/>
  <c r="C281" i="33" s="1"/>
  <c r="D281" i="33" s="1"/>
  <c r="C280" i="33"/>
  <c r="D280" i="33" s="1"/>
  <c r="C279" i="33"/>
  <c r="D279" i="33" s="1"/>
  <c r="B278" i="33"/>
  <c r="C278" i="33" s="1"/>
  <c r="D278" i="33" s="1"/>
  <c r="D277" i="33"/>
  <c r="C277" i="33"/>
  <c r="D276" i="33"/>
  <c r="C276" i="33"/>
  <c r="C275" i="33"/>
  <c r="D275" i="33" s="1"/>
  <c r="D274" i="33"/>
  <c r="C274" i="33"/>
  <c r="B273" i="33"/>
  <c r="C273" i="33" s="1"/>
  <c r="D273" i="33" s="1"/>
  <c r="B272" i="33"/>
  <c r="C272" i="33" s="1"/>
  <c r="D272" i="33" s="1"/>
  <c r="C271" i="33"/>
  <c r="D271" i="33" s="1"/>
  <c r="D270" i="33"/>
  <c r="C270" i="33"/>
  <c r="B269" i="33"/>
  <c r="C269" i="33" s="1"/>
  <c r="D269" i="33" s="1"/>
  <c r="C268" i="33"/>
  <c r="D268" i="33" s="1"/>
  <c r="C267" i="33"/>
  <c r="D267" i="33" s="1"/>
  <c r="C266" i="33"/>
  <c r="D266" i="33" s="1"/>
  <c r="C265" i="33"/>
  <c r="D265" i="33" s="1"/>
  <c r="B264" i="33"/>
  <c r="C264" i="33" s="1"/>
  <c r="D264" i="33" s="1"/>
  <c r="D263" i="33"/>
  <c r="C263" i="33"/>
  <c r="D262" i="33"/>
  <c r="C262" i="33"/>
  <c r="C261" i="33"/>
  <c r="D261" i="33" s="1"/>
  <c r="C260" i="33"/>
  <c r="D260" i="33" s="1"/>
  <c r="D259" i="33"/>
  <c r="C259" i="33"/>
  <c r="B258" i="33"/>
  <c r="C258" i="33" s="1"/>
  <c r="D258" i="33" s="1"/>
  <c r="C257" i="33"/>
  <c r="D257" i="33" s="1"/>
  <c r="C256" i="33"/>
  <c r="D256" i="33" s="1"/>
  <c r="C255" i="33"/>
  <c r="D255" i="33" s="1"/>
  <c r="B254" i="33"/>
  <c r="C254" i="33" s="1"/>
  <c r="D254" i="33" s="1"/>
  <c r="D253" i="33"/>
  <c r="C253" i="33"/>
  <c r="D252" i="33"/>
  <c r="C252" i="33"/>
  <c r="B251" i="33"/>
  <c r="C251" i="33" s="1"/>
  <c r="D251" i="33" s="1"/>
  <c r="C250" i="33"/>
  <c r="D250" i="33" s="1"/>
  <c r="C249" i="33"/>
  <c r="D249" i="33" s="1"/>
  <c r="C248" i="33"/>
  <c r="D248" i="33" s="1"/>
  <c r="B248" i="33"/>
  <c r="C242" i="33"/>
  <c r="D242" i="33" s="1"/>
  <c r="C241" i="33"/>
  <c r="D241" i="33" s="1"/>
  <c r="B241" i="33"/>
  <c r="D240" i="33"/>
  <c r="C240" i="33"/>
  <c r="C239" i="33"/>
  <c r="D239" i="33" s="1"/>
  <c r="B238" i="33"/>
  <c r="B243" i="33" s="1"/>
  <c r="C243" i="33" s="1"/>
  <c r="D243" i="33" s="1"/>
  <c r="C237" i="33"/>
  <c r="D237" i="33" s="1"/>
  <c r="C236" i="33"/>
  <c r="D236" i="33" s="1"/>
  <c r="C235" i="33"/>
  <c r="D235" i="33" s="1"/>
  <c r="C234" i="33"/>
  <c r="D234" i="33" s="1"/>
  <c r="B234" i="33"/>
  <c r="B232" i="33"/>
  <c r="C232" i="33" s="1"/>
  <c r="D232" i="33" s="1"/>
  <c r="C231" i="33"/>
  <c r="D231" i="33" s="1"/>
  <c r="C230" i="33"/>
  <c r="C229" i="33" s="1"/>
  <c r="D229" i="33" s="1"/>
  <c r="B229" i="33"/>
  <c r="C228" i="33"/>
  <c r="D228" i="33" s="1"/>
  <c r="C227" i="33"/>
  <c r="D227" i="33" s="1"/>
  <c r="B226" i="33"/>
  <c r="C226" i="33" s="1"/>
  <c r="D226" i="33" s="1"/>
  <c r="C225" i="33"/>
  <c r="D225" i="33" s="1"/>
  <c r="C224" i="33"/>
  <c r="D224" i="33" s="1"/>
  <c r="C223" i="33"/>
  <c r="D223" i="33" s="1"/>
  <c r="C222" i="33"/>
  <c r="D222" i="33" s="1"/>
  <c r="B222" i="33"/>
  <c r="C219" i="33"/>
  <c r="D219" i="33" s="1"/>
  <c r="C218" i="33"/>
  <c r="D218" i="33" s="1"/>
  <c r="C217" i="33"/>
  <c r="D217" i="33" s="1"/>
  <c r="C216" i="33"/>
  <c r="D216" i="33" s="1"/>
  <c r="C215" i="33"/>
  <c r="D215" i="33" s="1"/>
  <c r="B215" i="33"/>
  <c r="D214" i="33"/>
  <c r="C214" i="33"/>
  <c r="C213" i="33"/>
  <c r="D213" i="33" s="1"/>
  <c r="C212" i="33"/>
  <c r="D212" i="33" s="1"/>
  <c r="B211" i="33"/>
  <c r="C211" i="33" s="1"/>
  <c r="D211" i="33" s="1"/>
  <c r="C210" i="33"/>
  <c r="D210" i="33" s="1"/>
  <c r="C209" i="33"/>
  <c r="D209" i="33" s="1"/>
  <c r="C208" i="33"/>
  <c r="D208" i="33" s="1"/>
  <c r="C207" i="33"/>
  <c r="D207" i="33" s="1"/>
  <c r="C206" i="33"/>
  <c r="D206" i="33" s="1"/>
  <c r="B205" i="33"/>
  <c r="C205" i="33" s="1"/>
  <c r="D205" i="33" s="1"/>
  <c r="D204" i="33"/>
  <c r="C204" i="33"/>
  <c r="B203" i="33"/>
  <c r="C203" i="33" s="1"/>
  <c r="D203" i="33" s="1"/>
  <c r="C202" i="33"/>
  <c r="D202" i="33" s="1"/>
  <c r="C201" i="33"/>
  <c r="D201" i="33" s="1"/>
  <c r="C200" i="33"/>
  <c r="D200" i="33" s="1"/>
  <c r="C199" i="33"/>
  <c r="D199" i="33" s="1"/>
  <c r="C198" i="33"/>
  <c r="D198" i="33" s="1"/>
  <c r="C197" i="33"/>
  <c r="D197" i="33" s="1"/>
  <c r="C196" i="33"/>
  <c r="D196" i="33" s="1"/>
  <c r="C195" i="33"/>
  <c r="D195" i="33" s="1"/>
  <c r="C194" i="33"/>
  <c r="D194" i="33" s="1"/>
  <c r="C193" i="33"/>
  <c r="D193" i="33" s="1"/>
  <c r="C192" i="33"/>
  <c r="D192" i="33" s="1"/>
  <c r="B192" i="33"/>
  <c r="C191" i="33"/>
  <c r="D191" i="33" s="1"/>
  <c r="B190" i="33"/>
  <c r="C190" i="33" s="1"/>
  <c r="D190" i="33" s="1"/>
  <c r="C189" i="33"/>
  <c r="D189" i="33" s="1"/>
  <c r="C188" i="33"/>
  <c r="D188" i="33" s="1"/>
  <c r="B187" i="33"/>
  <c r="C187" i="33" s="1"/>
  <c r="D187" i="33" s="1"/>
  <c r="D186" i="33"/>
  <c r="C186" i="33"/>
  <c r="B185" i="33"/>
  <c r="C185" i="33" s="1"/>
  <c r="D185" i="33" s="1"/>
  <c r="C184" i="33"/>
  <c r="D184" i="33" s="1"/>
  <c r="C183" i="33"/>
  <c r="D183" i="33" s="1"/>
  <c r="C182" i="33"/>
  <c r="D182" i="33" s="1"/>
  <c r="B182" i="33"/>
  <c r="C181" i="33"/>
  <c r="D181" i="33" s="1"/>
  <c r="D180" i="33"/>
  <c r="C180" i="33"/>
  <c r="D179" i="33"/>
  <c r="C179" i="33"/>
  <c r="D178" i="33"/>
  <c r="C178" i="33"/>
  <c r="C177" i="33"/>
  <c r="D177" i="33" s="1"/>
  <c r="C176" i="33"/>
  <c r="D176" i="33" s="1"/>
  <c r="B175" i="33"/>
  <c r="C175" i="33" s="1"/>
  <c r="D175" i="33" s="1"/>
  <c r="C174" i="33"/>
  <c r="D174" i="33" s="1"/>
  <c r="C173" i="33"/>
  <c r="D173" i="33" s="1"/>
  <c r="C172" i="33"/>
  <c r="D172" i="33" s="1"/>
  <c r="B172" i="33"/>
  <c r="D171" i="33"/>
  <c r="C171" i="33"/>
  <c r="C170" i="33"/>
  <c r="D170" i="33" s="1"/>
  <c r="C169" i="33"/>
  <c r="D169" i="33" s="1"/>
  <c r="D168" i="33"/>
  <c r="C168" i="33"/>
  <c r="B167" i="33"/>
  <c r="C167" i="33" s="1"/>
  <c r="D167" i="33" s="1"/>
  <c r="C166" i="33"/>
  <c r="D166" i="33" s="1"/>
  <c r="C165" i="33"/>
  <c r="D165" i="33" s="1"/>
  <c r="C164" i="33"/>
  <c r="D164" i="33" s="1"/>
  <c r="C163" i="33"/>
  <c r="D163" i="33" s="1"/>
  <c r="C162" i="33"/>
  <c r="D162" i="33" s="1"/>
  <c r="C161" i="33"/>
  <c r="D161" i="33" s="1"/>
  <c r="B161" i="33"/>
  <c r="D160" i="33"/>
  <c r="C160" i="33"/>
  <c r="C159" i="33"/>
  <c r="D159" i="33" s="1"/>
  <c r="C158" i="33"/>
  <c r="D158" i="33" s="1"/>
  <c r="D157" i="33"/>
  <c r="C157" i="33"/>
  <c r="D156" i="33"/>
  <c r="C156" i="33"/>
  <c r="B155" i="33"/>
  <c r="C155" i="33" s="1"/>
  <c r="D155" i="33" s="1"/>
  <c r="C154" i="33"/>
  <c r="D154" i="33" s="1"/>
  <c r="C153" i="33"/>
  <c r="D153" i="33" s="1"/>
  <c r="B152" i="33"/>
  <c r="C152" i="33" s="1"/>
  <c r="D152" i="33" s="1"/>
  <c r="C151" i="33"/>
  <c r="D151" i="33" s="1"/>
  <c r="D150" i="33"/>
  <c r="C150" i="33"/>
  <c r="B149" i="33"/>
  <c r="C149" i="33" s="1"/>
  <c r="D149" i="33" s="1"/>
  <c r="C148" i="33"/>
  <c r="D148" i="33" s="1"/>
  <c r="C147" i="33"/>
  <c r="D147" i="33" s="1"/>
  <c r="B146" i="33"/>
  <c r="B141" i="33"/>
  <c r="J29" i="35" s="1"/>
  <c r="C140" i="33"/>
  <c r="D140" i="33" s="1"/>
  <c r="B139" i="33"/>
  <c r="C139" i="33" s="1"/>
  <c r="D139" i="33" s="1"/>
  <c r="C138" i="33"/>
  <c r="D138" i="33" s="1"/>
  <c r="B134" i="33"/>
  <c r="C134" i="33" s="1"/>
  <c r="D134" i="33" s="1"/>
  <c r="C132" i="33"/>
  <c r="D132" i="33" s="1"/>
  <c r="C131" i="33"/>
  <c r="D131" i="33" s="1"/>
  <c r="D130" i="33"/>
  <c r="C130" i="33"/>
  <c r="C129" i="33"/>
  <c r="D129" i="33" s="1"/>
  <c r="C128" i="33"/>
  <c r="D128" i="33" s="1"/>
  <c r="B127" i="33"/>
  <c r="B133" i="33" s="1"/>
  <c r="C133" i="33" s="1"/>
  <c r="D133" i="33" s="1"/>
  <c r="D125" i="33"/>
  <c r="C125" i="33"/>
  <c r="D121" i="33"/>
  <c r="C121" i="33"/>
  <c r="C120" i="33"/>
  <c r="D120" i="33" s="1"/>
  <c r="D119" i="33"/>
  <c r="C119" i="33"/>
  <c r="B119" i="33"/>
  <c r="D118" i="33"/>
  <c r="D117" i="33" s="1"/>
  <c r="C118" i="33"/>
  <c r="C117" i="33" s="1"/>
  <c r="B117" i="33"/>
  <c r="C116" i="33"/>
  <c r="D116" i="33" s="1"/>
  <c r="D115" i="33"/>
  <c r="C115" i="33"/>
  <c r="B115" i="33"/>
  <c r="C114" i="33"/>
  <c r="D114" i="33" s="1"/>
  <c r="D113" i="33" s="1"/>
  <c r="C113" i="33"/>
  <c r="B113" i="33"/>
  <c r="B122" i="33" s="1"/>
  <c r="D112" i="33"/>
  <c r="C112" i="33"/>
  <c r="C110" i="33" s="1"/>
  <c r="D111" i="33"/>
  <c r="C111" i="33"/>
  <c r="B110" i="33"/>
  <c r="C109" i="33"/>
  <c r="D109" i="33" s="1"/>
  <c r="D108" i="33"/>
  <c r="C108" i="33"/>
  <c r="C107" i="33" s="1"/>
  <c r="B107" i="33"/>
  <c r="C106" i="33"/>
  <c r="D106" i="33" s="1"/>
  <c r="C105" i="33"/>
  <c r="C100" i="33" s="1"/>
  <c r="D104" i="33"/>
  <c r="C104" i="33"/>
  <c r="C102" i="33"/>
  <c r="D102" i="33" s="1"/>
  <c r="C101" i="33"/>
  <c r="D101" i="33" s="1"/>
  <c r="B100" i="33"/>
  <c r="C99" i="33"/>
  <c r="D99" i="33" s="1"/>
  <c r="B98" i="33"/>
  <c r="B97" i="33" s="1"/>
  <c r="C96" i="33"/>
  <c r="D96" i="33" s="1"/>
  <c r="B95" i="33"/>
  <c r="B92" i="33" s="1"/>
  <c r="C94" i="33"/>
  <c r="D93" i="33"/>
  <c r="C93" i="33"/>
  <c r="C91" i="33"/>
  <c r="C90" i="33" s="1"/>
  <c r="B90" i="33"/>
  <c r="C89" i="33"/>
  <c r="D89" i="33" s="1"/>
  <c r="D87" i="33" s="1"/>
  <c r="D88" i="33"/>
  <c r="C88" i="33"/>
  <c r="C87" i="33"/>
  <c r="B87" i="33"/>
  <c r="B83" i="33"/>
  <c r="B76" i="33" s="1"/>
  <c r="C82" i="33"/>
  <c r="D82" i="33" s="1"/>
  <c r="C81" i="33"/>
  <c r="B80" i="33"/>
  <c r="C80" i="33" s="1"/>
  <c r="D80" i="33" s="1"/>
  <c r="C79" i="33"/>
  <c r="D79" i="33" s="1"/>
  <c r="C78" i="33"/>
  <c r="D78" i="33" s="1"/>
  <c r="D77" i="33"/>
  <c r="C77" i="33"/>
  <c r="C75" i="33"/>
  <c r="D75" i="33" s="1"/>
  <c r="C74" i="33"/>
  <c r="D74" i="33" s="1"/>
  <c r="B74" i="33"/>
  <c r="C73" i="33"/>
  <c r="D73" i="33" s="1"/>
  <c r="B72" i="33"/>
  <c r="C72" i="33" s="1"/>
  <c r="D72" i="33" s="1"/>
  <c r="C71" i="33"/>
  <c r="D71" i="33" s="1"/>
  <c r="D70" i="33"/>
  <c r="C70" i="33"/>
  <c r="C69" i="33"/>
  <c r="D69" i="33" s="1"/>
  <c r="C68" i="33"/>
  <c r="D68" i="33" s="1"/>
  <c r="C67" i="33"/>
  <c r="D67" i="33" s="1"/>
  <c r="D66" i="33"/>
  <c r="C66" i="33"/>
  <c r="B65" i="33"/>
  <c r="C65" i="33" s="1"/>
  <c r="D65" i="33" s="1"/>
  <c r="C64" i="33"/>
  <c r="D64" i="33" s="1"/>
  <c r="D63" i="33"/>
  <c r="C63" i="33"/>
  <c r="B63" i="33"/>
  <c r="B62" i="33"/>
  <c r="C62" i="33" s="1"/>
  <c r="D62" i="33" s="1"/>
  <c r="C61" i="33"/>
  <c r="D61" i="33" s="1"/>
  <c r="D60" i="33"/>
  <c r="C60" i="33"/>
  <c r="C59" i="33"/>
  <c r="D59" i="33" s="1"/>
  <c r="C58" i="33"/>
  <c r="D58" i="33" s="1"/>
  <c r="C57" i="33"/>
  <c r="D57" i="33" s="1"/>
  <c r="C56" i="33"/>
  <c r="D56" i="33" s="1"/>
  <c r="C55" i="33"/>
  <c r="D55" i="33" s="1"/>
  <c r="C54" i="33"/>
  <c r="D54" i="33" s="1"/>
  <c r="C53" i="33"/>
  <c r="D53" i="33" s="1"/>
  <c r="D52" i="33"/>
  <c r="C52" i="33"/>
  <c r="C51" i="33"/>
  <c r="D51" i="33" s="1"/>
  <c r="C49" i="33"/>
  <c r="D49" i="33" s="1"/>
  <c r="B49" i="33"/>
  <c r="B48" i="33"/>
  <c r="C48" i="33" s="1"/>
  <c r="D48" i="33" s="1"/>
  <c r="D47" i="33"/>
  <c r="C47" i="33"/>
  <c r="C46" i="33"/>
  <c r="D46" i="33" s="1"/>
  <c r="B45" i="33"/>
  <c r="C45" i="33" s="1"/>
  <c r="D45" i="33" s="1"/>
  <c r="B44" i="33"/>
  <c r="B42" i="33" s="1"/>
  <c r="C42" i="33" s="1"/>
  <c r="D42" i="33" s="1"/>
  <c r="C43" i="33"/>
  <c r="D43" i="33" s="1"/>
  <c r="B41" i="33"/>
  <c r="B39" i="33" s="1"/>
  <c r="C39" i="33" s="1"/>
  <c r="D39" i="33" s="1"/>
  <c r="C40" i="33"/>
  <c r="D40" i="33" s="1"/>
  <c r="B40" i="33"/>
  <c r="B38" i="33"/>
  <c r="B35" i="33" s="1"/>
  <c r="C35" i="33" s="1"/>
  <c r="D35" i="33" s="1"/>
  <c r="D37" i="33"/>
  <c r="C37" i="33"/>
  <c r="B36" i="33"/>
  <c r="C36" i="33" s="1"/>
  <c r="D36" i="33" s="1"/>
  <c r="D34" i="33"/>
  <c r="C34" i="33"/>
  <c r="C33" i="33"/>
  <c r="D33" i="33" s="1"/>
  <c r="B32" i="33"/>
  <c r="C32" i="33" s="1"/>
  <c r="D32" i="33" s="1"/>
  <c r="C31" i="33"/>
  <c r="D31" i="33" s="1"/>
  <c r="B31" i="33"/>
  <c r="C30" i="33"/>
  <c r="D30" i="33" s="1"/>
  <c r="C29" i="33"/>
  <c r="D29" i="33" s="1"/>
  <c r="C28" i="33"/>
  <c r="D28" i="33" s="1"/>
  <c r="D27" i="33"/>
  <c r="C27" i="33"/>
  <c r="B26" i="33"/>
  <c r="C26" i="33" s="1"/>
  <c r="D26" i="33" s="1"/>
  <c r="C25" i="33"/>
  <c r="D25" i="33" s="1"/>
  <c r="D24" i="33"/>
  <c r="C24" i="33"/>
  <c r="B24" i="33"/>
  <c r="B23" i="33"/>
  <c r="C23" i="33" s="1"/>
  <c r="D23" i="33" s="1"/>
  <c r="B22" i="33"/>
  <c r="B20" i="33" s="1"/>
  <c r="C20" i="33" s="1"/>
  <c r="D20" i="33" s="1"/>
  <c r="D21" i="33"/>
  <c r="C21" i="33"/>
  <c r="B21" i="33"/>
  <c r="B19" i="33"/>
  <c r="C19" i="33" s="1"/>
  <c r="D19" i="33" s="1"/>
  <c r="B18" i="33"/>
  <c r="C18" i="33" s="1"/>
  <c r="D18" i="33" s="1"/>
  <c r="B17" i="33"/>
  <c r="B15" i="33" s="1"/>
  <c r="C15" i="33" s="1"/>
  <c r="D15" i="33" s="1"/>
  <c r="C16" i="33"/>
  <c r="D16" i="33" s="1"/>
  <c r="B16" i="33"/>
  <c r="C14" i="33"/>
  <c r="D14" i="33" s="1"/>
  <c r="C13" i="33"/>
  <c r="D13" i="33" s="1"/>
  <c r="D12" i="33"/>
  <c r="C12" i="33"/>
  <c r="B11" i="33"/>
  <c r="C11" i="33" s="1"/>
  <c r="D11" i="33" s="1"/>
  <c r="C10" i="33"/>
  <c r="D10" i="33" s="1"/>
  <c r="D9" i="33"/>
  <c r="C9" i="33"/>
  <c r="B8" i="33"/>
  <c r="C8" i="33" s="1"/>
  <c r="D8" i="33" s="1"/>
  <c r="D7" i="33"/>
  <c r="C7" i="33"/>
  <c r="C6" i="33"/>
  <c r="D6" i="33" s="1"/>
  <c r="B6" i="33"/>
  <c r="C5" i="33"/>
  <c r="D5" i="33" s="1"/>
  <c r="C4" i="33"/>
  <c r="D4" i="33" s="1"/>
  <c r="C3" i="33"/>
  <c r="D3" i="33" s="1"/>
  <c r="B3" i="33"/>
  <c r="C146" i="33" l="1"/>
  <c r="D146" i="33" s="1"/>
  <c r="B31" i="35"/>
  <c r="B32" i="35" s="1"/>
  <c r="C307" i="33"/>
  <c r="D307" i="33" s="1"/>
  <c r="B312" i="33"/>
  <c r="C312" i="33" s="1"/>
  <c r="D312" i="33" s="1"/>
  <c r="B220" i="33"/>
  <c r="D230" i="33"/>
  <c r="C238" i="33"/>
  <c r="D238" i="33" s="1"/>
  <c r="D100" i="33"/>
  <c r="C44" i="33"/>
  <c r="D44" i="33" s="1"/>
  <c r="C76" i="33"/>
  <c r="D76" i="33" s="1"/>
  <c r="B84" i="33"/>
  <c r="D141" i="33"/>
  <c r="C95" i="33"/>
  <c r="D95" i="33" s="1"/>
  <c r="D105" i="33"/>
  <c r="D110" i="33"/>
  <c r="D92" i="33"/>
  <c r="C17" i="33"/>
  <c r="D17" i="33" s="1"/>
  <c r="C38" i="33"/>
  <c r="D38" i="33" s="1"/>
  <c r="C92" i="33"/>
  <c r="C98" i="33"/>
  <c r="D107" i="33"/>
  <c r="D94" i="33"/>
  <c r="C22" i="33"/>
  <c r="D22" i="33" s="1"/>
  <c r="B50" i="33"/>
  <c r="C50" i="33" s="1"/>
  <c r="D50" i="33" s="1"/>
  <c r="D91" i="33"/>
  <c r="D90" i="33" s="1"/>
  <c r="C41" i="33"/>
  <c r="D41" i="33" s="1"/>
  <c r="C127" i="33"/>
  <c r="D127" i="33" s="1"/>
  <c r="C141" i="33"/>
  <c r="F31" i="35" l="1"/>
  <c r="K31" i="35" s="1"/>
  <c r="B31" i="30"/>
  <c r="C84" i="33"/>
  <c r="D84" i="33" s="1"/>
  <c r="F29" i="35"/>
  <c r="B29" i="30"/>
  <c r="B244" i="33"/>
  <c r="C220" i="33"/>
  <c r="D220" i="33" s="1"/>
  <c r="D98" i="33"/>
  <c r="D97" i="33" s="1"/>
  <c r="D122" i="33" s="1"/>
  <c r="C97" i="33"/>
  <c r="C122" i="33" s="1"/>
  <c r="B123" i="33"/>
  <c r="B142" i="33" s="1"/>
  <c r="L31" i="35" l="1"/>
  <c r="N31" i="35" s="1"/>
  <c r="E31" i="35"/>
  <c r="C123" i="33"/>
  <c r="C142" i="33" s="1"/>
  <c r="D123" i="33"/>
  <c r="D142" i="33" s="1"/>
  <c r="L29" i="35"/>
  <c r="N29" i="35" s="1"/>
  <c r="E29" i="35"/>
  <c r="B246" i="33"/>
  <c r="C244" i="33"/>
  <c r="C246" i="33" l="1"/>
  <c r="D244" i="33"/>
  <c r="D246" i="33" s="1"/>
  <c r="B28" i="30" l="1"/>
  <c r="D21" i="30"/>
  <c r="D20" i="30"/>
  <c r="B18" i="30"/>
  <c r="B16" i="30"/>
  <c r="B15" i="30"/>
  <c r="B14" i="30"/>
  <c r="B60" i="19"/>
  <c r="B12" i="30"/>
  <c r="D12" i="30" s="1"/>
  <c r="B6" i="30"/>
  <c r="D24" i="30"/>
  <c r="D28" i="30"/>
  <c r="D29" i="30"/>
  <c r="D30" i="30"/>
  <c r="D31" i="30"/>
  <c r="D39" i="28"/>
  <c r="F39" i="28"/>
  <c r="D6" i="28"/>
  <c r="F6" i="28"/>
  <c r="D17" i="28"/>
  <c r="C39" i="28"/>
  <c r="C32" i="28"/>
  <c r="C17" i="28"/>
  <c r="C6" i="28"/>
  <c r="B35" i="30" l="1"/>
  <c r="F24" i="30"/>
  <c r="D14" i="30"/>
  <c r="F43" i="28"/>
  <c r="D43" i="28"/>
  <c r="C43" i="28"/>
  <c r="G45" i="28" l="1"/>
  <c r="G28" i="28"/>
  <c r="G10" i="28"/>
  <c r="G18" i="28"/>
  <c r="G26" i="28"/>
  <c r="G35" i="28"/>
  <c r="G43" i="28"/>
  <c r="G31" i="28"/>
  <c r="G39" i="28"/>
  <c r="G7" i="28"/>
  <c r="G15" i="28"/>
  <c r="G23" i="28"/>
  <c r="G32" i="28"/>
  <c r="G40" i="28"/>
  <c r="G8" i="28"/>
  <c r="G16" i="28"/>
  <c r="G24" i="28"/>
  <c r="G33" i="28"/>
  <c r="G41" i="28"/>
  <c r="G9" i="28"/>
  <c r="G17" i="28"/>
  <c r="G25" i="28"/>
  <c r="G34" i="28"/>
  <c r="G42" i="28"/>
  <c r="G11" i="28"/>
  <c r="G19" i="28"/>
  <c r="G27" i="28"/>
  <c r="G36" i="28"/>
  <c r="G5" i="28"/>
  <c r="G12" i="28"/>
  <c r="G20" i="28"/>
  <c r="G29" i="28"/>
  <c r="G37" i="28"/>
  <c r="G13" i="28"/>
  <c r="G21" i="28"/>
  <c r="G30" i="28"/>
  <c r="G38" i="28"/>
  <c r="G6" i="28"/>
  <c r="G14" i="28"/>
  <c r="G22" i="28"/>
  <c r="C182" i="25"/>
  <c r="D182" i="25" s="1"/>
  <c r="C181" i="25"/>
  <c r="D181" i="25" s="1"/>
  <c r="C180" i="25"/>
  <c r="D180" i="25" s="1"/>
  <c r="C179" i="25"/>
  <c r="D179" i="25" s="1"/>
  <c r="B178" i="25"/>
  <c r="C177" i="25"/>
  <c r="D177" i="25" s="1"/>
  <c r="B176" i="25"/>
  <c r="C176" i="25" s="1"/>
  <c r="D176" i="25" s="1"/>
  <c r="C175" i="25"/>
  <c r="D175" i="25" s="1"/>
  <c r="B174" i="25"/>
  <c r="C174" i="25" s="1"/>
  <c r="D174" i="25" s="1"/>
  <c r="C173" i="25"/>
  <c r="D173" i="25" s="1"/>
  <c r="C172" i="25"/>
  <c r="D172" i="25" s="1"/>
  <c r="C171" i="25"/>
  <c r="D171" i="25" s="1"/>
  <c r="C170" i="25"/>
  <c r="D170" i="25" s="1"/>
  <c r="C169" i="25"/>
  <c r="D169" i="25" s="1"/>
  <c r="B168" i="25"/>
  <c r="C168" i="25" s="1"/>
  <c r="D168" i="25" s="1"/>
  <c r="C167" i="25"/>
  <c r="D167" i="25" s="1"/>
  <c r="B166" i="25"/>
  <c r="C166" i="25" s="1"/>
  <c r="D166" i="25" s="1"/>
  <c r="C165" i="25"/>
  <c r="D165" i="25" s="1"/>
  <c r="C164" i="25"/>
  <c r="D164" i="25" s="1"/>
  <c r="B163" i="25"/>
  <c r="C163" i="25" s="1"/>
  <c r="D163" i="25" s="1"/>
  <c r="C162" i="25"/>
  <c r="D162" i="25" s="1"/>
  <c r="C161" i="25"/>
  <c r="D161" i="25" s="1"/>
  <c r="C160" i="25"/>
  <c r="D160" i="25" s="1"/>
  <c r="C159" i="25"/>
  <c r="D159" i="25" s="1"/>
  <c r="B158" i="25"/>
  <c r="C158" i="25" s="1"/>
  <c r="D158" i="25" s="1"/>
  <c r="C157" i="25"/>
  <c r="D157" i="25" s="1"/>
  <c r="C156" i="25"/>
  <c r="D156" i="25" s="1"/>
  <c r="C155" i="25"/>
  <c r="D155" i="25" s="1"/>
  <c r="C154" i="25"/>
  <c r="D154" i="25" s="1"/>
  <c r="C153" i="25"/>
  <c r="D153" i="25" s="1"/>
  <c r="B152" i="25"/>
  <c r="C152" i="25" s="1"/>
  <c r="D152" i="25" s="1"/>
  <c r="C151" i="25"/>
  <c r="D151" i="25" s="1"/>
  <c r="C150" i="25"/>
  <c r="D150" i="25" s="1"/>
  <c r="B149" i="25"/>
  <c r="C149" i="25" s="1"/>
  <c r="D149" i="25" s="1"/>
  <c r="C148" i="25"/>
  <c r="D148" i="25" s="1"/>
  <c r="C147" i="25"/>
  <c r="D147" i="25" s="1"/>
  <c r="C146" i="25"/>
  <c r="D146" i="25" s="1"/>
  <c r="C145" i="25"/>
  <c r="D145" i="25" s="1"/>
  <c r="B144" i="25"/>
  <c r="C144" i="25" s="1"/>
  <c r="D144" i="25" s="1"/>
  <c r="C143" i="25"/>
  <c r="D143" i="25" s="1"/>
  <c r="D142" i="25"/>
  <c r="C142" i="25"/>
  <c r="C141" i="25"/>
  <c r="D141" i="25" s="1"/>
  <c r="C140" i="25"/>
  <c r="D140" i="25" s="1"/>
  <c r="B139" i="25"/>
  <c r="C139" i="25" s="1"/>
  <c r="D139" i="25" s="1"/>
  <c r="C138" i="25"/>
  <c r="D138" i="25" s="1"/>
  <c r="C137" i="25"/>
  <c r="D137" i="25" s="1"/>
  <c r="C136" i="25"/>
  <c r="D136" i="25" s="1"/>
  <c r="C135" i="25"/>
  <c r="D135" i="25" s="1"/>
  <c r="C134" i="25"/>
  <c r="D134" i="25" s="1"/>
  <c r="B133" i="25"/>
  <c r="C133" i="25" s="1"/>
  <c r="D133" i="25" s="1"/>
  <c r="C132" i="25"/>
  <c r="D132" i="25" s="1"/>
  <c r="C131" i="25"/>
  <c r="D131" i="25" s="1"/>
  <c r="B130" i="25"/>
  <c r="C130" i="25" s="1"/>
  <c r="D130" i="25" s="1"/>
  <c r="C126" i="25"/>
  <c r="D126" i="25" s="1"/>
  <c r="C125" i="25"/>
  <c r="D125" i="25" s="1"/>
  <c r="B124" i="25"/>
  <c r="C124" i="25" s="1"/>
  <c r="D124" i="25" s="1"/>
  <c r="C123" i="25"/>
  <c r="D123" i="25" s="1"/>
  <c r="C122" i="25"/>
  <c r="D122" i="25" s="1"/>
  <c r="C121" i="25"/>
  <c r="D121" i="25" s="1"/>
  <c r="C120" i="25"/>
  <c r="D120" i="25" s="1"/>
  <c r="C119" i="25"/>
  <c r="D119" i="25" s="1"/>
  <c r="B118" i="25"/>
  <c r="C118" i="25" s="1"/>
  <c r="D118" i="25" s="1"/>
  <c r="C117" i="25"/>
  <c r="D117" i="25" s="1"/>
  <c r="B116" i="25"/>
  <c r="C116" i="25" s="1"/>
  <c r="D116" i="25" s="1"/>
  <c r="C115" i="25"/>
  <c r="D115" i="25" s="1"/>
  <c r="C114" i="25"/>
  <c r="D114" i="25" s="1"/>
  <c r="C113" i="25"/>
  <c r="D113" i="25" s="1"/>
  <c r="B112" i="25"/>
  <c r="C112" i="25" s="1"/>
  <c r="D112" i="25" s="1"/>
  <c r="C111" i="25"/>
  <c r="D111" i="25" s="1"/>
  <c r="B110" i="25"/>
  <c r="C110" i="25" s="1"/>
  <c r="D110" i="25" s="1"/>
  <c r="C109" i="25"/>
  <c r="D109" i="25" s="1"/>
  <c r="B108" i="25"/>
  <c r="C108" i="25" s="1"/>
  <c r="D108" i="25" s="1"/>
  <c r="C107" i="25"/>
  <c r="D107" i="25" s="1"/>
  <c r="C106" i="25"/>
  <c r="D106" i="25" s="1"/>
  <c r="B105" i="25"/>
  <c r="C105" i="25" s="1"/>
  <c r="D105" i="25" s="1"/>
  <c r="C104" i="25"/>
  <c r="D104" i="25" s="1"/>
  <c r="C103" i="25"/>
  <c r="D103" i="25" s="1"/>
  <c r="B102" i="25"/>
  <c r="C102" i="25" s="1"/>
  <c r="D102" i="25" s="1"/>
  <c r="C101" i="25"/>
  <c r="D101" i="25" s="1"/>
  <c r="C100" i="25"/>
  <c r="D100" i="25" s="1"/>
  <c r="C99" i="25"/>
  <c r="D99" i="25" s="1"/>
  <c r="C98" i="25"/>
  <c r="D98" i="25" s="1"/>
  <c r="B97" i="25"/>
  <c r="C96" i="25"/>
  <c r="D96" i="25" s="1"/>
  <c r="C95" i="25"/>
  <c r="D95" i="25" s="1"/>
  <c r="C92" i="25"/>
  <c r="D92" i="25" s="1"/>
  <c r="C91" i="25"/>
  <c r="D91" i="25" s="1"/>
  <c r="B91" i="25"/>
  <c r="C90" i="25"/>
  <c r="D90" i="25" s="1"/>
  <c r="C89" i="25"/>
  <c r="D89" i="25" s="1"/>
  <c r="C88" i="25"/>
  <c r="D88" i="25" s="1"/>
  <c r="B87" i="25"/>
  <c r="C87" i="25" s="1"/>
  <c r="D87" i="25" s="1"/>
  <c r="C86" i="25"/>
  <c r="D86" i="25" s="1"/>
  <c r="B85" i="25"/>
  <c r="C85" i="25" s="1"/>
  <c r="D85" i="25" s="1"/>
  <c r="C84" i="25"/>
  <c r="D84" i="25" s="1"/>
  <c r="B83" i="25"/>
  <c r="C83" i="25" s="1"/>
  <c r="D83" i="25" s="1"/>
  <c r="C82" i="25"/>
  <c r="D82" i="25" s="1"/>
  <c r="C81" i="25"/>
  <c r="D81" i="25" s="1"/>
  <c r="B80" i="25"/>
  <c r="C80" i="25" s="1"/>
  <c r="D80" i="25" s="1"/>
  <c r="C79" i="25"/>
  <c r="D79" i="25" s="1"/>
  <c r="C78" i="25"/>
  <c r="D78" i="25" s="1"/>
  <c r="C77" i="25"/>
  <c r="D77" i="25" s="1"/>
  <c r="B76" i="25"/>
  <c r="C75" i="25"/>
  <c r="D75" i="25" s="1"/>
  <c r="B74" i="25"/>
  <c r="C74" i="25" s="1"/>
  <c r="D74" i="25" s="1"/>
  <c r="C71" i="25"/>
  <c r="D71" i="25" s="1"/>
  <c r="C70" i="25"/>
  <c r="D70" i="25" s="1"/>
  <c r="C69" i="25"/>
  <c r="D69" i="25" s="1"/>
  <c r="C68" i="25"/>
  <c r="D68" i="25" s="1"/>
  <c r="B67" i="25"/>
  <c r="C67" i="25" s="1"/>
  <c r="D67" i="25" s="1"/>
  <c r="C66" i="25"/>
  <c r="D66" i="25" s="1"/>
  <c r="C65" i="25"/>
  <c r="D65" i="25" s="1"/>
  <c r="C64" i="25"/>
  <c r="D64" i="25" s="1"/>
  <c r="B63" i="25"/>
  <c r="C63" i="25" s="1"/>
  <c r="D63" i="25" s="1"/>
  <c r="C62" i="25"/>
  <c r="D62" i="25" s="1"/>
  <c r="C61" i="25"/>
  <c r="D61" i="25" s="1"/>
  <c r="C60" i="25"/>
  <c r="D60" i="25" s="1"/>
  <c r="C59" i="25"/>
  <c r="D59" i="25" s="1"/>
  <c r="C58" i="25"/>
  <c r="D58" i="25" s="1"/>
  <c r="B57" i="25"/>
  <c r="C57" i="25" s="1"/>
  <c r="D57" i="25" s="1"/>
  <c r="C56" i="25"/>
  <c r="D56" i="25" s="1"/>
  <c r="B55" i="25"/>
  <c r="C55" i="25" s="1"/>
  <c r="D55" i="25" s="1"/>
  <c r="C54" i="25"/>
  <c r="D54" i="25" s="1"/>
  <c r="C53" i="25"/>
  <c r="D53" i="25" s="1"/>
  <c r="C52" i="25"/>
  <c r="D52" i="25" s="1"/>
  <c r="C51" i="25"/>
  <c r="D51" i="25" s="1"/>
  <c r="C50" i="25"/>
  <c r="D50" i="25" s="1"/>
  <c r="C49" i="25"/>
  <c r="D49" i="25" s="1"/>
  <c r="C48" i="25"/>
  <c r="D48" i="25" s="1"/>
  <c r="C47" i="25"/>
  <c r="D47" i="25" s="1"/>
  <c r="C46" i="25"/>
  <c r="D46" i="25" s="1"/>
  <c r="C45" i="25"/>
  <c r="D45" i="25" s="1"/>
  <c r="C44" i="25"/>
  <c r="D44" i="25" s="1"/>
  <c r="B43" i="25"/>
  <c r="C43" i="25" s="1"/>
  <c r="D43" i="25" s="1"/>
  <c r="C42" i="25"/>
  <c r="D42" i="25" s="1"/>
  <c r="B41" i="25"/>
  <c r="C41" i="25" s="1"/>
  <c r="D41" i="25" s="1"/>
  <c r="C40" i="25"/>
  <c r="D40" i="25" s="1"/>
  <c r="C39" i="25"/>
  <c r="D39" i="25" s="1"/>
  <c r="B38" i="25"/>
  <c r="C38" i="25" s="1"/>
  <c r="D38" i="25" s="1"/>
  <c r="C37" i="25"/>
  <c r="D37" i="25" s="1"/>
  <c r="B36" i="25"/>
  <c r="C36" i="25" s="1"/>
  <c r="D36" i="25" s="1"/>
  <c r="C35" i="25"/>
  <c r="D35" i="25" s="1"/>
  <c r="D34" i="25"/>
  <c r="C34" i="25"/>
  <c r="B33" i="25"/>
  <c r="C33" i="25" s="1"/>
  <c r="D33" i="25" s="1"/>
  <c r="C32" i="25"/>
  <c r="D32" i="25" s="1"/>
  <c r="C31" i="25"/>
  <c r="D31" i="25" s="1"/>
  <c r="C30" i="25"/>
  <c r="D30" i="25" s="1"/>
  <c r="C29" i="25"/>
  <c r="D29" i="25" s="1"/>
  <c r="C28" i="25"/>
  <c r="D28" i="25" s="1"/>
  <c r="B27" i="25"/>
  <c r="C27" i="25" s="1"/>
  <c r="D27" i="25" s="1"/>
  <c r="C26" i="25"/>
  <c r="D26" i="25" s="1"/>
  <c r="C25" i="25"/>
  <c r="D25" i="25" s="1"/>
  <c r="B24" i="25"/>
  <c r="C24" i="25" s="1"/>
  <c r="D24" i="25" s="1"/>
  <c r="C23" i="25"/>
  <c r="D23" i="25" s="1"/>
  <c r="C22" i="25"/>
  <c r="D22" i="25" s="1"/>
  <c r="C21" i="25"/>
  <c r="D21" i="25" s="1"/>
  <c r="D20" i="25"/>
  <c r="C20" i="25"/>
  <c r="B19" i="25"/>
  <c r="C19" i="25" s="1"/>
  <c r="D19" i="25" s="1"/>
  <c r="C18" i="25"/>
  <c r="D18" i="25" s="1"/>
  <c r="C17" i="25"/>
  <c r="D17" i="25" s="1"/>
  <c r="C16" i="25"/>
  <c r="D16" i="25" s="1"/>
  <c r="C15" i="25"/>
  <c r="D15" i="25" s="1"/>
  <c r="B14" i="25"/>
  <c r="C14" i="25" s="1"/>
  <c r="D14" i="25" s="1"/>
  <c r="C13" i="25"/>
  <c r="D13" i="25" s="1"/>
  <c r="C12" i="25"/>
  <c r="D12" i="25" s="1"/>
  <c r="C11" i="25"/>
  <c r="D11" i="25" s="1"/>
  <c r="C10" i="25"/>
  <c r="D10" i="25" s="1"/>
  <c r="C9" i="25"/>
  <c r="D9" i="25" s="1"/>
  <c r="B8" i="25"/>
  <c r="C8" i="25" s="1"/>
  <c r="D8" i="25" s="1"/>
  <c r="C7" i="25"/>
  <c r="D7" i="25" s="1"/>
  <c r="C6" i="25"/>
  <c r="D6" i="25" s="1"/>
  <c r="B5" i="25"/>
  <c r="C5" i="25" s="1"/>
  <c r="D5" i="25" s="1"/>
  <c r="C4" i="25"/>
  <c r="D4" i="25" s="1"/>
  <c r="C3" i="25"/>
  <c r="D3" i="25" s="1"/>
  <c r="B2" i="25"/>
  <c r="C2" i="25" s="1"/>
  <c r="D2" i="25" s="1"/>
  <c r="C402" i="24"/>
  <c r="D402" i="24" s="1"/>
  <c r="B401" i="24"/>
  <c r="C401" i="24" s="1"/>
  <c r="D401" i="24" s="1"/>
  <c r="C400" i="24"/>
  <c r="D400" i="24" s="1"/>
  <c r="B399" i="24"/>
  <c r="C399" i="24" s="1"/>
  <c r="D399" i="24" s="1"/>
  <c r="C398" i="24"/>
  <c r="D398" i="24" s="1"/>
  <c r="C397" i="24"/>
  <c r="D397" i="24" s="1"/>
  <c r="B396" i="24"/>
  <c r="C396" i="24" s="1"/>
  <c r="D396" i="24" s="1"/>
  <c r="C395" i="24"/>
  <c r="D395" i="24" s="1"/>
  <c r="B394" i="24"/>
  <c r="C394" i="24" s="1"/>
  <c r="D394" i="24" s="1"/>
  <c r="C393" i="24"/>
  <c r="D393" i="24" s="1"/>
  <c r="C392" i="24"/>
  <c r="D392" i="24" s="1"/>
  <c r="C391" i="24"/>
  <c r="D391" i="24" s="1"/>
  <c r="B390" i="24"/>
  <c r="C390" i="24" s="1"/>
  <c r="D390" i="24" s="1"/>
  <c r="C389" i="24"/>
  <c r="D389" i="24" s="1"/>
  <c r="B388" i="24"/>
  <c r="C388" i="24" s="1"/>
  <c r="D388" i="24" s="1"/>
  <c r="C387" i="24"/>
  <c r="D387" i="24" s="1"/>
  <c r="C386" i="24"/>
  <c r="D386" i="24" s="1"/>
  <c r="B385" i="24"/>
  <c r="C385" i="24" s="1"/>
  <c r="D385" i="24" s="1"/>
  <c r="C384" i="24"/>
  <c r="D384" i="24" s="1"/>
  <c r="B383" i="24"/>
  <c r="C383" i="24" s="1"/>
  <c r="D383" i="24" s="1"/>
  <c r="C382" i="24"/>
  <c r="D382" i="24" s="1"/>
  <c r="C381" i="24"/>
  <c r="D381" i="24" s="1"/>
  <c r="C377" i="24"/>
  <c r="D377" i="24" s="1"/>
  <c r="C376" i="24"/>
  <c r="D376" i="24" s="1"/>
  <c r="B375" i="24"/>
  <c r="C375" i="24" s="1"/>
  <c r="D375" i="24" s="1"/>
  <c r="C374" i="24"/>
  <c r="D374" i="24" s="1"/>
  <c r="C373" i="24"/>
  <c r="D373" i="24" s="1"/>
  <c r="C372" i="24"/>
  <c r="D372" i="24" s="1"/>
  <c r="C371" i="24"/>
  <c r="D371" i="24" s="1"/>
  <c r="C370" i="24"/>
  <c r="D370" i="24" s="1"/>
  <c r="C368" i="24"/>
  <c r="D368" i="24" s="1"/>
  <c r="C367" i="24"/>
  <c r="D367" i="24" s="1"/>
  <c r="C366" i="24"/>
  <c r="D366" i="24" s="1"/>
  <c r="C365" i="24"/>
  <c r="D365" i="24" s="1"/>
  <c r="C363" i="24"/>
  <c r="D363" i="24" s="1"/>
  <c r="B362" i="24"/>
  <c r="C361" i="24"/>
  <c r="D361" i="24" s="1"/>
  <c r="C360" i="24"/>
  <c r="D360" i="24" s="1"/>
  <c r="B359" i="24"/>
  <c r="C359" i="24" s="1"/>
  <c r="D359" i="24" s="1"/>
  <c r="C358" i="24"/>
  <c r="D358" i="24" s="1"/>
  <c r="B357" i="24"/>
  <c r="C357" i="24" s="1"/>
  <c r="D357" i="24" s="1"/>
  <c r="C356" i="24"/>
  <c r="D356" i="24" s="1"/>
  <c r="C355" i="24"/>
  <c r="D355" i="24" s="1"/>
  <c r="B354" i="24"/>
  <c r="C354" i="24" s="1"/>
  <c r="D354" i="24" s="1"/>
  <c r="C353" i="24"/>
  <c r="D353" i="24" s="1"/>
  <c r="C352" i="24"/>
  <c r="D352" i="24" s="1"/>
  <c r="C351" i="24"/>
  <c r="D351" i="24" s="1"/>
  <c r="B350" i="24"/>
  <c r="C350" i="24" s="1"/>
  <c r="D350" i="24" s="1"/>
  <c r="C349" i="24"/>
  <c r="D349" i="24" s="1"/>
  <c r="B348" i="24"/>
  <c r="C348" i="24" s="1"/>
  <c r="D348" i="24" s="1"/>
  <c r="C347" i="24"/>
  <c r="D347" i="24" s="1"/>
  <c r="C346" i="24"/>
  <c r="D346" i="24" s="1"/>
  <c r="C345" i="24"/>
  <c r="D345" i="24" s="1"/>
  <c r="C344" i="24"/>
  <c r="D344" i="24" s="1"/>
  <c r="C343" i="24"/>
  <c r="D343" i="24" s="1"/>
  <c r="B342" i="24"/>
  <c r="C342" i="24" s="1"/>
  <c r="D342" i="24" s="1"/>
  <c r="C341" i="24"/>
  <c r="D341" i="24" s="1"/>
  <c r="B340" i="24"/>
  <c r="C340" i="24" s="1"/>
  <c r="D340" i="24" s="1"/>
  <c r="C339" i="24"/>
  <c r="D339" i="24" s="1"/>
  <c r="C338" i="24"/>
  <c r="D338" i="24" s="1"/>
  <c r="C337" i="24"/>
  <c r="D337" i="24" s="1"/>
  <c r="B336" i="24"/>
  <c r="C336" i="24" s="1"/>
  <c r="D336" i="24" s="1"/>
  <c r="C335" i="24"/>
  <c r="D335" i="24" s="1"/>
  <c r="C334" i="24"/>
  <c r="D334" i="24" s="1"/>
  <c r="C333" i="24"/>
  <c r="D333" i="24" s="1"/>
  <c r="C332" i="24"/>
  <c r="D332" i="24" s="1"/>
  <c r="C331" i="24"/>
  <c r="D331" i="24" s="1"/>
  <c r="C330" i="24"/>
  <c r="D330" i="24" s="1"/>
  <c r="C329" i="24"/>
  <c r="D329" i="24" s="1"/>
  <c r="B328" i="24"/>
  <c r="C328" i="24" s="1"/>
  <c r="D328" i="24" s="1"/>
  <c r="C327" i="24"/>
  <c r="D327" i="24" s="1"/>
  <c r="C326" i="24"/>
  <c r="D326" i="24" s="1"/>
  <c r="B325" i="24"/>
  <c r="C325" i="24" s="1"/>
  <c r="D325" i="24" s="1"/>
  <c r="C324" i="24"/>
  <c r="D324" i="24" s="1"/>
  <c r="C323" i="24"/>
  <c r="D323" i="24" s="1"/>
  <c r="B322" i="24"/>
  <c r="C322" i="24" s="1"/>
  <c r="D322" i="24" s="1"/>
  <c r="C321" i="24"/>
  <c r="D321" i="24" s="1"/>
  <c r="C320" i="24"/>
  <c r="D320" i="24" s="1"/>
  <c r="C319" i="24"/>
  <c r="D319" i="24" s="1"/>
  <c r="C318" i="24"/>
  <c r="D318" i="24" s="1"/>
  <c r="C317" i="24"/>
  <c r="D317" i="24" s="1"/>
  <c r="C316" i="24"/>
  <c r="D316" i="24" s="1"/>
  <c r="C315" i="24"/>
  <c r="D315" i="24" s="1"/>
  <c r="C314" i="24"/>
  <c r="D314" i="24" s="1"/>
  <c r="B313" i="24"/>
  <c r="C313" i="24" s="1"/>
  <c r="D313" i="24" s="1"/>
  <c r="C312" i="24"/>
  <c r="D312" i="24" s="1"/>
  <c r="C311" i="24"/>
  <c r="D311" i="24" s="1"/>
  <c r="B310" i="24"/>
  <c r="C310" i="24" s="1"/>
  <c r="D310" i="24" s="1"/>
  <c r="C309" i="24"/>
  <c r="D309" i="24" s="1"/>
  <c r="C308" i="24"/>
  <c r="D308" i="24" s="1"/>
  <c r="C307" i="24"/>
  <c r="D307" i="24" s="1"/>
  <c r="C306" i="24"/>
  <c r="D306" i="24" s="1"/>
  <c r="B305" i="24"/>
  <c r="C305" i="24" s="1"/>
  <c r="D305" i="24" s="1"/>
  <c r="C304" i="24"/>
  <c r="D304" i="24" s="1"/>
  <c r="C303" i="24"/>
  <c r="D303" i="24" s="1"/>
  <c r="C302" i="24"/>
  <c r="D302" i="24" s="1"/>
  <c r="B301" i="24"/>
  <c r="C301" i="24" s="1"/>
  <c r="D301" i="24" s="1"/>
  <c r="B300" i="24"/>
  <c r="C300" i="24" s="1"/>
  <c r="D300" i="24" s="1"/>
  <c r="C299" i="24"/>
  <c r="D299" i="24" s="1"/>
  <c r="B298" i="24"/>
  <c r="C298" i="24" s="1"/>
  <c r="D298" i="24" s="1"/>
  <c r="B297" i="24"/>
  <c r="C297" i="24" s="1"/>
  <c r="D297" i="24" s="1"/>
  <c r="C295" i="24"/>
  <c r="D295" i="24" s="1"/>
  <c r="C294" i="24"/>
  <c r="D294" i="24" s="1"/>
  <c r="C293" i="24"/>
  <c r="D293" i="24" s="1"/>
  <c r="B292" i="24"/>
  <c r="C292" i="24" s="1"/>
  <c r="D292" i="24" s="1"/>
  <c r="C291" i="24"/>
  <c r="D291" i="24" s="1"/>
  <c r="C290" i="24"/>
  <c r="D290" i="24" s="1"/>
  <c r="B289" i="24"/>
  <c r="C289" i="24" s="1"/>
  <c r="D289" i="24" s="1"/>
  <c r="C288" i="24"/>
  <c r="D288" i="24" s="1"/>
  <c r="B287" i="24"/>
  <c r="C287" i="24" s="1"/>
  <c r="D287" i="24" s="1"/>
  <c r="C286" i="24"/>
  <c r="D286" i="24" s="1"/>
  <c r="C285" i="24"/>
  <c r="D285" i="24" s="1"/>
  <c r="C283" i="24"/>
  <c r="D283" i="24" s="1"/>
  <c r="C282" i="24"/>
  <c r="D282" i="24" s="1"/>
  <c r="B278" i="24"/>
  <c r="C278" i="24" s="1"/>
  <c r="D278" i="24" s="1"/>
  <c r="C277" i="24"/>
  <c r="D277" i="24" s="1"/>
  <c r="C276" i="24"/>
  <c r="D276" i="24" s="1"/>
  <c r="B272" i="24"/>
  <c r="B273" i="24" s="1"/>
  <c r="C273" i="24" s="1"/>
  <c r="D273" i="24" s="1"/>
  <c r="C271" i="24"/>
  <c r="D271" i="24" s="1"/>
  <c r="C270" i="24"/>
  <c r="D270" i="24" s="1"/>
  <c r="C269" i="24"/>
  <c r="D269" i="24" s="1"/>
  <c r="C268" i="24"/>
  <c r="D268" i="24" s="1"/>
  <c r="C267" i="24"/>
  <c r="D267" i="24" s="1"/>
  <c r="C266" i="24"/>
  <c r="D266" i="24" s="1"/>
  <c r="B264" i="24"/>
  <c r="C264" i="24" s="1"/>
  <c r="D264" i="24" s="1"/>
  <c r="C263" i="24"/>
  <c r="D263" i="24" s="1"/>
  <c r="C262" i="24"/>
  <c r="D262" i="24" s="1"/>
  <c r="C260" i="24"/>
  <c r="D260" i="24" s="1"/>
  <c r="B259" i="24"/>
  <c r="C259" i="24" s="1"/>
  <c r="D259" i="24" s="1"/>
  <c r="C258" i="24"/>
  <c r="D258" i="24" s="1"/>
  <c r="C257" i="24"/>
  <c r="D257" i="24" s="1"/>
  <c r="B256" i="24"/>
  <c r="C256" i="24" s="1"/>
  <c r="D256" i="24" s="1"/>
  <c r="C255" i="24"/>
  <c r="D255" i="24" s="1"/>
  <c r="B254" i="24"/>
  <c r="C254" i="24" s="1"/>
  <c r="D254" i="24" s="1"/>
  <c r="C253" i="24"/>
  <c r="D253" i="24" s="1"/>
  <c r="C252" i="24"/>
  <c r="D252" i="24" s="1"/>
  <c r="B251" i="24"/>
  <c r="C251" i="24" s="1"/>
  <c r="D251" i="24" s="1"/>
  <c r="C250" i="24"/>
  <c r="D250" i="24" s="1"/>
  <c r="C249" i="24"/>
  <c r="D249" i="24" s="1"/>
  <c r="C248" i="24"/>
  <c r="D248" i="24" s="1"/>
  <c r="C247" i="24"/>
  <c r="D247" i="24" s="1"/>
  <c r="B246" i="24"/>
  <c r="C246" i="24" s="1"/>
  <c r="D246" i="24" s="1"/>
  <c r="C245" i="24"/>
  <c r="D245" i="24" s="1"/>
  <c r="B244" i="24"/>
  <c r="C243" i="24"/>
  <c r="D243" i="24" s="1"/>
  <c r="C242" i="24"/>
  <c r="D242" i="24" s="1"/>
  <c r="C241" i="24"/>
  <c r="D241" i="24" s="1"/>
  <c r="C240" i="24"/>
  <c r="D240" i="24" s="1"/>
  <c r="C239" i="24"/>
  <c r="D239" i="24" s="1"/>
  <c r="C238" i="24"/>
  <c r="D238" i="24" s="1"/>
  <c r="B237" i="24"/>
  <c r="C237" i="24" s="1"/>
  <c r="D237" i="24" s="1"/>
  <c r="C236" i="24"/>
  <c r="D236" i="24" s="1"/>
  <c r="B235" i="24"/>
  <c r="C235" i="24" s="1"/>
  <c r="D235" i="24" s="1"/>
  <c r="C234" i="24"/>
  <c r="D234" i="24" s="1"/>
  <c r="C233" i="24"/>
  <c r="D233" i="24" s="1"/>
  <c r="C232" i="24"/>
  <c r="D232" i="24" s="1"/>
  <c r="B231" i="24"/>
  <c r="C231" i="24" s="1"/>
  <c r="D231" i="24" s="1"/>
  <c r="C230" i="24"/>
  <c r="D230" i="24" s="1"/>
  <c r="C229" i="24"/>
  <c r="D229" i="24" s="1"/>
  <c r="C228" i="24"/>
  <c r="D228" i="24" s="1"/>
  <c r="C227" i="24"/>
  <c r="D227" i="24" s="1"/>
  <c r="C226" i="24"/>
  <c r="D226" i="24" s="1"/>
  <c r="C225" i="24"/>
  <c r="D225" i="24" s="1"/>
  <c r="C224" i="24"/>
  <c r="D224" i="24" s="1"/>
  <c r="B223" i="24"/>
  <c r="C223" i="24" s="1"/>
  <c r="D223" i="24" s="1"/>
  <c r="C222" i="24"/>
  <c r="D222" i="24" s="1"/>
  <c r="C221" i="24"/>
  <c r="D221" i="24" s="1"/>
  <c r="D220" i="24" s="1"/>
  <c r="B220" i="24"/>
  <c r="C219" i="24"/>
  <c r="D219" i="24" s="1"/>
  <c r="C218" i="24"/>
  <c r="D218" i="24" s="1"/>
  <c r="B217" i="24"/>
  <c r="C217" i="24" s="1"/>
  <c r="D217" i="24" s="1"/>
  <c r="C216" i="24"/>
  <c r="D216" i="24" s="1"/>
  <c r="C215" i="24"/>
  <c r="D215" i="24" s="1"/>
  <c r="C214" i="24"/>
  <c r="D214" i="24" s="1"/>
  <c r="C213" i="24"/>
  <c r="D213" i="24" s="1"/>
  <c r="C212" i="24"/>
  <c r="D212" i="24" s="1"/>
  <c r="C211" i="24"/>
  <c r="D211" i="24" s="1"/>
  <c r="C210" i="24"/>
  <c r="D210" i="24" s="1"/>
  <c r="B209" i="24"/>
  <c r="C209" i="24" s="1"/>
  <c r="D209" i="24" s="1"/>
  <c r="C208" i="24"/>
  <c r="D208" i="24" s="1"/>
  <c r="C207" i="24"/>
  <c r="D207" i="24" s="1"/>
  <c r="B206" i="24"/>
  <c r="C206" i="24" s="1"/>
  <c r="D206" i="24" s="1"/>
  <c r="C205" i="24"/>
  <c r="D205" i="24" s="1"/>
  <c r="C204" i="24"/>
  <c r="D204" i="24" s="1"/>
  <c r="C203" i="24"/>
  <c r="D203" i="24" s="1"/>
  <c r="C202" i="24"/>
  <c r="D202" i="24" s="1"/>
  <c r="B201" i="24"/>
  <c r="C201" i="24" s="1"/>
  <c r="D201" i="24" s="1"/>
  <c r="C200" i="24"/>
  <c r="D200" i="24" s="1"/>
  <c r="C199" i="24"/>
  <c r="D199" i="24" s="1"/>
  <c r="C198" i="24"/>
  <c r="D198" i="24" s="1"/>
  <c r="B197" i="24"/>
  <c r="C197" i="24" s="1"/>
  <c r="D197" i="24" s="1"/>
  <c r="B196" i="24"/>
  <c r="C196" i="24" s="1"/>
  <c r="D196" i="24" s="1"/>
  <c r="B195" i="24"/>
  <c r="B192" i="24" s="1"/>
  <c r="C192" i="24" s="1"/>
  <c r="D192" i="24" s="1"/>
  <c r="C194" i="24"/>
  <c r="D194" i="24" s="1"/>
  <c r="C193" i="24"/>
  <c r="D193" i="24" s="1"/>
  <c r="C191" i="24"/>
  <c r="D191" i="24" s="1"/>
  <c r="C190" i="24"/>
  <c r="D190" i="24" s="1"/>
  <c r="C189" i="24"/>
  <c r="D189" i="24" s="1"/>
  <c r="B188" i="24"/>
  <c r="C188" i="24" s="1"/>
  <c r="D188" i="24" s="1"/>
  <c r="C187" i="24"/>
  <c r="D187" i="24" s="1"/>
  <c r="C186" i="24"/>
  <c r="D186" i="24" s="1"/>
  <c r="B185" i="24"/>
  <c r="C185" i="24" s="1"/>
  <c r="D185" i="24" s="1"/>
  <c r="C184" i="24"/>
  <c r="D184" i="24" s="1"/>
  <c r="C183" i="24"/>
  <c r="D183" i="24" s="1"/>
  <c r="C182" i="24"/>
  <c r="D182" i="24" s="1"/>
  <c r="C181" i="24"/>
  <c r="D181" i="24" s="1"/>
  <c r="C180" i="24"/>
  <c r="D180" i="24" s="1"/>
  <c r="C179" i="24"/>
  <c r="D179" i="24" s="1"/>
  <c r="C178" i="24"/>
  <c r="D178" i="24" s="1"/>
  <c r="C177" i="24"/>
  <c r="D177" i="24" s="1"/>
  <c r="C176" i="24"/>
  <c r="D176" i="24" s="1"/>
  <c r="C175" i="24"/>
  <c r="D175" i="24" s="1"/>
  <c r="C174" i="24"/>
  <c r="D174" i="24" s="1"/>
  <c r="C173" i="24"/>
  <c r="D173" i="24" s="1"/>
  <c r="C172" i="24"/>
  <c r="D172" i="24" s="1"/>
  <c r="C171" i="24"/>
  <c r="D171" i="24" s="1"/>
  <c r="C170" i="24"/>
  <c r="D170" i="24" s="1"/>
  <c r="C169" i="24"/>
  <c r="D169" i="24" s="1"/>
  <c r="C168" i="24"/>
  <c r="D168" i="24" s="1"/>
  <c r="B167" i="24"/>
  <c r="C167" i="24" s="1"/>
  <c r="D167" i="24" s="1"/>
  <c r="C166" i="24"/>
  <c r="D166" i="24" s="1"/>
  <c r="B165" i="24"/>
  <c r="C165" i="24" s="1"/>
  <c r="D165" i="24" s="1"/>
  <c r="C163" i="24"/>
  <c r="D163" i="24" s="1"/>
  <c r="C158" i="24"/>
  <c r="D158" i="24" s="1"/>
  <c r="B157" i="24"/>
  <c r="C157" i="24" s="1"/>
  <c r="D157" i="24" s="1"/>
  <c r="C156" i="24"/>
  <c r="D156" i="24" s="1"/>
  <c r="C155" i="24"/>
  <c r="D155" i="24" s="1"/>
  <c r="C154" i="24"/>
  <c r="D154" i="24" s="1"/>
  <c r="C153" i="24"/>
  <c r="D153" i="24" s="1"/>
  <c r="C152" i="24"/>
  <c r="D152" i="24" s="1"/>
  <c r="C151" i="24"/>
  <c r="D151" i="24" s="1"/>
  <c r="C150" i="24"/>
  <c r="D150" i="24" s="1"/>
  <c r="B149" i="24"/>
  <c r="C149" i="24" s="1"/>
  <c r="D149" i="24" s="1"/>
  <c r="C148" i="24"/>
  <c r="D148" i="24" s="1"/>
  <c r="B147" i="24"/>
  <c r="C147" i="24" s="1"/>
  <c r="D147" i="24" s="1"/>
  <c r="C146" i="24"/>
  <c r="D146" i="24" s="1"/>
  <c r="C145" i="24"/>
  <c r="D145" i="24" s="1"/>
  <c r="C144" i="24"/>
  <c r="D144" i="24" s="1"/>
  <c r="C143" i="24"/>
  <c r="D143" i="24" s="1"/>
  <c r="C142" i="24"/>
  <c r="D142" i="24" s="1"/>
  <c r="C141" i="24"/>
  <c r="D141" i="24" s="1"/>
  <c r="B140" i="24"/>
  <c r="C140" i="24" s="1"/>
  <c r="D140" i="24" s="1"/>
  <c r="C139" i="24"/>
  <c r="D139" i="24" s="1"/>
  <c r="B138" i="24"/>
  <c r="C138" i="24" s="1"/>
  <c r="D138" i="24" s="1"/>
  <c r="C137" i="24"/>
  <c r="D137" i="24" s="1"/>
  <c r="C136" i="24"/>
  <c r="D136" i="24" s="1"/>
  <c r="C135" i="24"/>
  <c r="D135" i="24" s="1"/>
  <c r="B134" i="24"/>
  <c r="C134" i="24" s="1"/>
  <c r="D134" i="24" s="1"/>
  <c r="C133" i="24"/>
  <c r="D133" i="24" s="1"/>
  <c r="C132" i="24"/>
  <c r="D132" i="24" s="1"/>
  <c r="C131" i="24"/>
  <c r="D131" i="24" s="1"/>
  <c r="B130" i="24"/>
  <c r="C130" i="24" s="1"/>
  <c r="D130" i="24" s="1"/>
  <c r="C129" i="24"/>
  <c r="D129" i="24" s="1"/>
  <c r="C128" i="24"/>
  <c r="D128" i="24" s="1"/>
  <c r="B127" i="24"/>
  <c r="C127" i="24" s="1"/>
  <c r="D127" i="24" s="1"/>
  <c r="C126" i="24"/>
  <c r="D126" i="24" s="1"/>
  <c r="B125" i="24"/>
  <c r="C125" i="24" s="1"/>
  <c r="D125" i="24" s="1"/>
  <c r="C124" i="24"/>
  <c r="D124" i="24" s="1"/>
  <c r="C123" i="24"/>
  <c r="D123" i="24" s="1"/>
  <c r="C122" i="24"/>
  <c r="D122" i="24" s="1"/>
  <c r="B121" i="24"/>
  <c r="C121" i="24" s="1"/>
  <c r="D121" i="24" s="1"/>
  <c r="C120" i="24"/>
  <c r="D120" i="24" s="1"/>
  <c r="C119" i="24"/>
  <c r="D119" i="24" s="1"/>
  <c r="C118" i="24"/>
  <c r="D118" i="24" s="1"/>
  <c r="C117" i="24"/>
  <c r="D117" i="24" s="1"/>
  <c r="B116" i="24"/>
  <c r="C116" i="24" s="1"/>
  <c r="D116" i="24" s="1"/>
  <c r="C115" i="24"/>
  <c r="D115" i="24" s="1"/>
  <c r="C114" i="24"/>
  <c r="D114" i="24" s="1"/>
  <c r="C113" i="24"/>
  <c r="D113" i="24" s="1"/>
  <c r="B112" i="24"/>
  <c r="C112" i="24" s="1"/>
  <c r="D112" i="24" s="1"/>
  <c r="C111" i="24"/>
  <c r="D111" i="24" s="1"/>
  <c r="C110" i="24"/>
  <c r="D110" i="24" s="1"/>
  <c r="B109" i="24"/>
  <c r="C109" i="24" s="1"/>
  <c r="D109" i="24" s="1"/>
  <c r="C108" i="24"/>
  <c r="D108" i="24" s="1"/>
  <c r="C107" i="24"/>
  <c r="D107" i="24" s="1"/>
  <c r="B106" i="24"/>
  <c r="C106" i="24" s="1"/>
  <c r="D106" i="24" s="1"/>
  <c r="C105" i="24"/>
  <c r="D105" i="24" s="1"/>
  <c r="C104" i="24"/>
  <c r="D104" i="24" s="1"/>
  <c r="C100" i="24"/>
  <c r="D100" i="24" s="1"/>
  <c r="C99" i="24"/>
  <c r="D99" i="24" s="1"/>
  <c r="C98" i="24"/>
  <c r="D98" i="24" s="1"/>
  <c r="C97" i="24"/>
  <c r="D97" i="24" s="1"/>
  <c r="C96" i="24"/>
  <c r="D96" i="24" s="1"/>
  <c r="C95" i="24"/>
  <c r="D95" i="24" s="1"/>
  <c r="C94" i="24"/>
  <c r="D94" i="24" s="1"/>
  <c r="C93" i="24"/>
  <c r="D93" i="24" s="1"/>
  <c r="B93" i="24"/>
  <c r="C92" i="24"/>
  <c r="D92" i="24" s="1"/>
  <c r="C91" i="24"/>
  <c r="D91" i="24" s="1"/>
  <c r="C90" i="24"/>
  <c r="D90" i="24" s="1"/>
  <c r="C89" i="24"/>
  <c r="D89" i="24" s="1"/>
  <c r="C87" i="24"/>
  <c r="D87" i="24" s="1"/>
  <c r="B86" i="24"/>
  <c r="C86" i="24" s="1"/>
  <c r="D86" i="24" s="1"/>
  <c r="C85" i="24"/>
  <c r="D85" i="24" s="1"/>
  <c r="C84" i="24"/>
  <c r="D84" i="24" s="1"/>
  <c r="B83" i="24"/>
  <c r="C83" i="24" s="1"/>
  <c r="D83" i="24" s="1"/>
  <c r="C82" i="24"/>
  <c r="D82" i="24" s="1"/>
  <c r="B81" i="24"/>
  <c r="C81" i="24" s="1"/>
  <c r="D81" i="24" s="1"/>
  <c r="C80" i="24"/>
  <c r="D80" i="24" s="1"/>
  <c r="C79" i="24"/>
  <c r="D79" i="24" s="1"/>
  <c r="B78" i="24"/>
  <c r="C78" i="24" s="1"/>
  <c r="D78" i="24" s="1"/>
  <c r="C77" i="24"/>
  <c r="D77" i="24" s="1"/>
  <c r="C76" i="24"/>
  <c r="D76" i="24" s="1"/>
  <c r="C75" i="24"/>
  <c r="D75" i="24" s="1"/>
  <c r="C74" i="24"/>
  <c r="D74" i="24" s="1"/>
  <c r="C73" i="24"/>
  <c r="D73" i="24" s="1"/>
  <c r="B72" i="24"/>
  <c r="C72" i="24" s="1"/>
  <c r="D72" i="24" s="1"/>
  <c r="C71" i="24"/>
  <c r="D71" i="24" s="1"/>
  <c r="B70" i="24"/>
  <c r="C69" i="24"/>
  <c r="D69" i="24" s="1"/>
  <c r="C68" i="24"/>
  <c r="D68" i="24" s="1"/>
  <c r="C67" i="24"/>
  <c r="D67" i="24" s="1"/>
  <c r="C66" i="24"/>
  <c r="D66" i="24" s="1"/>
  <c r="C65" i="24"/>
  <c r="D65" i="24" s="1"/>
  <c r="C64" i="24"/>
  <c r="D64" i="24" s="1"/>
  <c r="B63" i="24"/>
  <c r="C63" i="24" s="1"/>
  <c r="D63" i="24" s="1"/>
  <c r="C62" i="24"/>
  <c r="D62" i="24" s="1"/>
  <c r="B61" i="24"/>
  <c r="C61" i="24" s="1"/>
  <c r="D61" i="24" s="1"/>
  <c r="C60" i="24"/>
  <c r="D60" i="24" s="1"/>
  <c r="C59" i="24"/>
  <c r="D59" i="24" s="1"/>
  <c r="C58" i="24"/>
  <c r="D58" i="24" s="1"/>
  <c r="B57" i="24"/>
  <c r="C57" i="24" s="1"/>
  <c r="D57" i="24" s="1"/>
  <c r="C56" i="24"/>
  <c r="D56" i="24" s="1"/>
  <c r="C55" i="24"/>
  <c r="D55" i="24" s="1"/>
  <c r="C54" i="24"/>
  <c r="D54" i="24" s="1"/>
  <c r="C53" i="24"/>
  <c r="D53" i="24" s="1"/>
  <c r="C52" i="24"/>
  <c r="D52" i="24" s="1"/>
  <c r="C51" i="24"/>
  <c r="D51" i="24" s="1"/>
  <c r="C50" i="24"/>
  <c r="D50" i="24" s="1"/>
  <c r="B49" i="24"/>
  <c r="C49" i="24" s="1"/>
  <c r="D49" i="24" s="1"/>
  <c r="C48" i="24"/>
  <c r="D48" i="24" s="1"/>
  <c r="C47" i="24"/>
  <c r="D47" i="24" s="1"/>
  <c r="C46" i="24"/>
  <c r="D46" i="24" s="1"/>
  <c r="B45" i="24"/>
  <c r="C45" i="24" s="1"/>
  <c r="D45" i="24" s="1"/>
  <c r="B44" i="24"/>
  <c r="C44" i="24" s="1"/>
  <c r="D44" i="24" s="1"/>
  <c r="B43" i="24"/>
  <c r="C43" i="24" s="1"/>
  <c r="D43" i="24" s="1"/>
  <c r="B42" i="24"/>
  <c r="B41" i="24"/>
  <c r="C41" i="24" s="1"/>
  <c r="D41" i="24" s="1"/>
  <c r="B40" i="24"/>
  <c r="C40" i="24" s="1"/>
  <c r="D40" i="24" s="1"/>
  <c r="C39" i="24"/>
  <c r="D39" i="24" s="1"/>
  <c r="C38" i="24"/>
  <c r="D38" i="24" s="1"/>
  <c r="C37" i="24"/>
  <c r="D37" i="24" s="1"/>
  <c r="C36" i="24"/>
  <c r="D36" i="24" s="1"/>
  <c r="C35" i="24"/>
  <c r="D35" i="24" s="1"/>
  <c r="C34" i="24"/>
  <c r="D34" i="24" s="1"/>
  <c r="C32" i="24"/>
  <c r="D32" i="24" s="1"/>
  <c r="C31" i="24"/>
  <c r="D31" i="24" s="1"/>
  <c r="B30" i="24"/>
  <c r="C30" i="24" s="1"/>
  <c r="D30" i="24" s="1"/>
  <c r="C29" i="24"/>
  <c r="D29" i="24" s="1"/>
  <c r="C28" i="24"/>
  <c r="D28" i="24" s="1"/>
  <c r="C27" i="24"/>
  <c r="D27" i="24" s="1"/>
  <c r="C26" i="24"/>
  <c r="D26" i="24" s="1"/>
  <c r="B25" i="24"/>
  <c r="C25" i="24" s="1"/>
  <c r="D25" i="24" s="1"/>
  <c r="C23" i="24"/>
  <c r="D23" i="24" s="1"/>
  <c r="C22" i="24"/>
  <c r="D22" i="24" s="1"/>
  <c r="B21" i="24"/>
  <c r="C21" i="24" s="1"/>
  <c r="D21" i="24" s="1"/>
  <c r="C14" i="24"/>
  <c r="D14" i="24" s="1"/>
  <c r="C13" i="24"/>
  <c r="D13" i="24" s="1"/>
  <c r="B12" i="24"/>
  <c r="C12" i="24" s="1"/>
  <c r="D12" i="24" s="1"/>
  <c r="B11" i="24"/>
  <c r="C11" i="24" s="1"/>
  <c r="D11" i="24" s="1"/>
  <c r="C10" i="24"/>
  <c r="D10" i="24" s="1"/>
  <c r="C9" i="24"/>
  <c r="D9" i="24" s="1"/>
  <c r="B8" i="24"/>
  <c r="C8" i="24" s="1"/>
  <c r="D8" i="24" s="1"/>
  <c r="C7" i="24"/>
  <c r="D7" i="24" s="1"/>
  <c r="B6" i="24"/>
  <c r="C6" i="24" s="1"/>
  <c r="D6" i="24" s="1"/>
  <c r="C5" i="24"/>
  <c r="D5" i="24" s="1"/>
  <c r="B4" i="24"/>
  <c r="C4" i="24" s="1"/>
  <c r="D4" i="24" s="1"/>
  <c r="D140" i="12"/>
  <c r="E140" i="12" s="1"/>
  <c r="D139" i="12"/>
  <c r="D138" i="12"/>
  <c r="E138" i="12" s="1"/>
  <c r="C137" i="12"/>
  <c r="C141" i="12" s="1"/>
  <c r="J23" i="35" s="1"/>
  <c r="D126" i="12"/>
  <c r="D123" i="12" s="1"/>
  <c r="D125" i="12"/>
  <c r="E125" i="12" s="1"/>
  <c r="D124" i="12"/>
  <c r="E124" i="12" s="1"/>
  <c r="C123" i="12"/>
  <c r="C127" i="12" s="1"/>
  <c r="F22" i="35" s="1"/>
  <c r="K22" i="35" s="1"/>
  <c r="E122" i="12"/>
  <c r="E121" i="12" s="1"/>
  <c r="D122" i="12"/>
  <c r="D121" i="12" s="1"/>
  <c r="C121" i="12"/>
  <c r="D120" i="12"/>
  <c r="E120" i="12" s="1"/>
  <c r="D119" i="12"/>
  <c r="D118" i="12" s="1"/>
  <c r="C119" i="12"/>
  <c r="C118" i="12"/>
  <c r="D117" i="12"/>
  <c r="E117" i="12" s="1"/>
  <c r="E116" i="12" s="1"/>
  <c r="D116" i="12"/>
  <c r="C116" i="12"/>
  <c r="D115" i="12"/>
  <c r="E115" i="12" s="1"/>
  <c r="D114" i="12"/>
  <c r="E114" i="12" s="1"/>
  <c r="E113" i="12" s="1"/>
  <c r="D113" i="12"/>
  <c r="C113" i="12"/>
  <c r="D112" i="12"/>
  <c r="E112" i="12" s="1"/>
  <c r="E111" i="12" s="1"/>
  <c r="D111" i="12"/>
  <c r="C111" i="12"/>
  <c r="D110" i="12"/>
  <c r="D108" i="12" s="1"/>
  <c r="E109" i="12"/>
  <c r="D109" i="12"/>
  <c r="C108" i="12"/>
  <c r="D107" i="12"/>
  <c r="E107" i="12" s="1"/>
  <c r="E106" i="12" s="1"/>
  <c r="D106" i="12"/>
  <c r="C106" i="12"/>
  <c r="D105" i="12"/>
  <c r="E105" i="12" s="1"/>
  <c r="E104" i="12" s="1"/>
  <c r="D104" i="12"/>
  <c r="C104" i="12"/>
  <c r="D103" i="12"/>
  <c r="D100" i="12" s="1"/>
  <c r="D102" i="12"/>
  <c r="E102" i="12" s="1"/>
  <c r="D101" i="12"/>
  <c r="E101" i="12" s="1"/>
  <c r="C100" i="12"/>
  <c r="E99" i="12"/>
  <c r="D99" i="12"/>
  <c r="D98" i="12"/>
  <c r="E98" i="12" s="1"/>
  <c r="E96" i="12" s="1"/>
  <c r="D97" i="12"/>
  <c r="E97" i="12" s="1"/>
  <c r="D96" i="12"/>
  <c r="C96" i="12"/>
  <c r="D95" i="12"/>
  <c r="E95" i="12" s="1"/>
  <c r="D94" i="12"/>
  <c r="E94" i="12" s="1"/>
  <c r="E93" i="12" s="1"/>
  <c r="D93" i="12"/>
  <c r="C93" i="12"/>
  <c r="E92" i="12"/>
  <c r="D92" i="12"/>
  <c r="D91" i="12"/>
  <c r="E91" i="12" s="1"/>
  <c r="D90" i="12"/>
  <c r="E90" i="12" s="1"/>
  <c r="D89" i="12"/>
  <c r="D87" i="12" s="1"/>
  <c r="E88" i="12"/>
  <c r="D88" i="12"/>
  <c r="C87" i="12"/>
  <c r="D86" i="12"/>
  <c r="E86" i="12" s="1"/>
  <c r="D85" i="12"/>
  <c r="D84" i="12" s="1"/>
  <c r="C84" i="12"/>
  <c r="D83" i="12"/>
  <c r="E83" i="12" s="1"/>
  <c r="D82" i="12"/>
  <c r="D81" i="12" s="1"/>
  <c r="C81" i="12"/>
  <c r="B117" i="23"/>
  <c r="C117" i="23" s="1"/>
  <c r="D117" i="23" s="1"/>
  <c r="B114" i="23"/>
  <c r="C113" i="23"/>
  <c r="D113" i="23" s="1"/>
  <c r="C111" i="23"/>
  <c r="D111" i="23" s="1"/>
  <c r="C110" i="23"/>
  <c r="D110" i="23" s="1"/>
  <c r="D107" i="23"/>
  <c r="C105" i="23"/>
  <c r="D105" i="23" s="1"/>
  <c r="B104" i="23"/>
  <c r="C104" i="23" s="1"/>
  <c r="D104" i="23" s="1"/>
  <c r="B103" i="23"/>
  <c r="C103" i="23" s="1"/>
  <c r="C101" i="23"/>
  <c r="D101" i="23" s="1"/>
  <c r="B100" i="23"/>
  <c r="C100" i="23" s="1"/>
  <c r="C98" i="23"/>
  <c r="D98" i="23" s="1"/>
  <c r="C97" i="23"/>
  <c r="D97" i="23" s="1"/>
  <c r="C96" i="23"/>
  <c r="B96" i="23"/>
  <c r="C95" i="23"/>
  <c r="C94" i="23" s="1"/>
  <c r="B94" i="23"/>
  <c r="C93" i="23"/>
  <c r="D93" i="23" s="1"/>
  <c r="C92" i="23"/>
  <c r="D92" i="23" s="1"/>
  <c r="C91" i="23"/>
  <c r="B90" i="23"/>
  <c r="C89" i="23"/>
  <c r="D89" i="23" s="1"/>
  <c r="D88" i="23" s="1"/>
  <c r="C88" i="23"/>
  <c r="B88" i="23"/>
  <c r="C87" i="23"/>
  <c r="D87" i="23" s="1"/>
  <c r="C86" i="23"/>
  <c r="D86" i="23" s="1"/>
  <c r="C85" i="23"/>
  <c r="B85" i="23"/>
  <c r="C84" i="23"/>
  <c r="D84" i="23" s="1"/>
  <c r="D83" i="23" s="1"/>
  <c r="C83" i="23"/>
  <c r="B83" i="23"/>
  <c r="C82" i="23"/>
  <c r="D82" i="23" s="1"/>
  <c r="C81" i="23"/>
  <c r="D81" i="23" s="1"/>
  <c r="C80" i="23"/>
  <c r="D80" i="23" s="1"/>
  <c r="D79" i="23" s="1"/>
  <c r="C79" i="23"/>
  <c r="B79" i="23"/>
  <c r="C78" i="23"/>
  <c r="C77" i="23"/>
  <c r="D77" i="23" s="1"/>
  <c r="C76" i="23"/>
  <c r="D76" i="23" s="1"/>
  <c r="B75" i="23"/>
  <c r="C74" i="23"/>
  <c r="D74" i="23" s="1"/>
  <c r="C73" i="23"/>
  <c r="D73" i="23" s="1"/>
  <c r="C72" i="23"/>
  <c r="B72" i="23"/>
  <c r="C71" i="23"/>
  <c r="C70" i="23" s="1"/>
  <c r="B70" i="23"/>
  <c r="C69" i="23"/>
  <c r="D69" i="23" s="1"/>
  <c r="C68" i="23"/>
  <c r="D68" i="23" s="1"/>
  <c r="C67" i="23"/>
  <c r="B66" i="23"/>
  <c r="C65" i="23"/>
  <c r="D65" i="23" s="1"/>
  <c r="C64" i="23"/>
  <c r="B63" i="23"/>
  <c r="B60" i="23"/>
  <c r="D59" i="23"/>
  <c r="C59" i="23"/>
  <c r="D58" i="23"/>
  <c r="C58" i="23"/>
  <c r="D57" i="23"/>
  <c r="C57" i="23"/>
  <c r="C56" i="23"/>
  <c r="D56" i="23" s="1"/>
  <c r="C55" i="23"/>
  <c r="D55" i="23" s="1"/>
  <c r="D54" i="23"/>
  <c r="C54" i="23"/>
  <c r="D51" i="23"/>
  <c r="D49" i="23"/>
  <c r="D48" i="23" s="1"/>
  <c r="C49" i="23"/>
  <c r="C48" i="23" s="1"/>
  <c r="B48" i="23"/>
  <c r="C47" i="23"/>
  <c r="D47" i="23" s="1"/>
  <c r="C46" i="23"/>
  <c r="D46" i="23" s="1"/>
  <c r="C45" i="23"/>
  <c r="B44" i="23"/>
  <c r="C43" i="23"/>
  <c r="D43" i="23" s="1"/>
  <c r="C42" i="23"/>
  <c r="D42" i="23" s="1"/>
  <c r="C40" i="23"/>
  <c r="D40" i="23" s="1"/>
  <c r="C39" i="23"/>
  <c r="D39" i="23" s="1"/>
  <c r="C38" i="23"/>
  <c r="D38" i="23" s="1"/>
  <c r="C37" i="23"/>
  <c r="D37" i="23" s="1"/>
  <c r="B36" i="23"/>
  <c r="C35" i="23"/>
  <c r="D35" i="23" s="1"/>
  <c r="D34" i="23" s="1"/>
  <c r="B34" i="23"/>
  <c r="C33" i="23"/>
  <c r="D33" i="23" s="1"/>
  <c r="B32" i="23"/>
  <c r="B30" i="23" s="1"/>
  <c r="C31" i="23"/>
  <c r="C29" i="23"/>
  <c r="D29" i="23" s="1"/>
  <c r="D28" i="23" s="1"/>
  <c r="C28" i="23"/>
  <c r="B28" i="23"/>
  <c r="C27" i="23"/>
  <c r="D27" i="23" s="1"/>
  <c r="C26" i="23"/>
  <c r="C25" i="23" s="1"/>
  <c r="B25" i="23"/>
  <c r="C24" i="23"/>
  <c r="D24" i="23" s="1"/>
  <c r="D23" i="23" s="1"/>
  <c r="B23" i="23"/>
  <c r="C22" i="23"/>
  <c r="D22" i="23" s="1"/>
  <c r="B21" i="23"/>
  <c r="B19" i="23" s="1"/>
  <c r="C20" i="23"/>
  <c r="D20" i="23" s="1"/>
  <c r="C18" i="23"/>
  <c r="D18" i="23" s="1"/>
  <c r="C17" i="23"/>
  <c r="C16" i="23" s="1"/>
  <c r="B16" i="23"/>
  <c r="C15" i="23"/>
  <c r="D15" i="23" s="1"/>
  <c r="B14" i="23"/>
  <c r="B13" i="23" s="1"/>
  <c r="B12" i="23"/>
  <c r="C12" i="23" s="1"/>
  <c r="D12" i="23" s="1"/>
  <c r="B11" i="23"/>
  <c r="C11" i="23" s="1"/>
  <c r="D11" i="23" s="1"/>
  <c r="B10" i="23"/>
  <c r="B8" i="23" s="1"/>
  <c r="C9" i="23"/>
  <c r="B7" i="23"/>
  <c r="C7" i="23" s="1"/>
  <c r="D7" i="23" s="1"/>
  <c r="B6" i="23"/>
  <c r="B5" i="23"/>
  <c r="C5" i="23" s="1"/>
  <c r="D5" i="23" s="1"/>
  <c r="C187" i="19"/>
  <c r="B187" i="19"/>
  <c r="C186" i="19"/>
  <c r="D186" i="19" s="1"/>
  <c r="C185" i="19"/>
  <c r="D185" i="19" s="1"/>
  <c r="D187" i="19" s="1"/>
  <c r="B182" i="19"/>
  <c r="B188" i="19" s="1"/>
  <c r="D181" i="19"/>
  <c r="C181" i="19"/>
  <c r="B180" i="19"/>
  <c r="C179" i="19"/>
  <c r="D179" i="19" s="1"/>
  <c r="D178" i="19"/>
  <c r="C178" i="19"/>
  <c r="B178" i="19"/>
  <c r="C177" i="19"/>
  <c r="D177" i="19" s="1"/>
  <c r="C176" i="19"/>
  <c r="D176" i="19" s="1"/>
  <c r="C175" i="19"/>
  <c r="D175" i="19" s="1"/>
  <c r="D174" i="19"/>
  <c r="C174" i="19"/>
  <c r="B173" i="19"/>
  <c r="C173" i="19" s="1"/>
  <c r="D173" i="19" s="1"/>
  <c r="C172" i="19"/>
  <c r="D172" i="19" s="1"/>
  <c r="D171" i="19"/>
  <c r="C171" i="19"/>
  <c r="B171" i="19"/>
  <c r="C170" i="19"/>
  <c r="D170" i="19" s="1"/>
  <c r="C169" i="19"/>
  <c r="D169" i="19" s="1"/>
  <c r="C168" i="19"/>
  <c r="D168" i="19" s="1"/>
  <c r="B168" i="19"/>
  <c r="C167" i="19"/>
  <c r="D167" i="19" s="1"/>
  <c r="C166" i="19"/>
  <c r="D166" i="19" s="1"/>
  <c r="C165" i="19"/>
  <c r="D165" i="19" s="1"/>
  <c r="D164" i="19"/>
  <c r="C164" i="19"/>
  <c r="B163" i="19"/>
  <c r="C163" i="19" s="1"/>
  <c r="D163" i="19" s="1"/>
  <c r="C162" i="19"/>
  <c r="D162" i="19" s="1"/>
  <c r="D161" i="19"/>
  <c r="C161" i="19"/>
  <c r="B160" i="19"/>
  <c r="C160" i="19" s="1"/>
  <c r="D160" i="19" s="1"/>
  <c r="C159" i="19"/>
  <c r="D159" i="19" s="1"/>
  <c r="C158" i="19"/>
  <c r="D158" i="19" s="1"/>
  <c r="D157" i="19"/>
  <c r="C157" i="19"/>
  <c r="B156" i="19"/>
  <c r="C156" i="19" s="1"/>
  <c r="D156" i="19" s="1"/>
  <c r="C155" i="19"/>
  <c r="D155" i="19" s="1"/>
  <c r="C154" i="19"/>
  <c r="D154" i="19" s="1"/>
  <c r="B154" i="19"/>
  <c r="C153" i="19"/>
  <c r="D153" i="19" s="1"/>
  <c r="C152" i="19"/>
  <c r="D152" i="19" s="1"/>
  <c r="C151" i="19"/>
  <c r="D150" i="19"/>
  <c r="C150" i="19"/>
  <c r="B149" i="19"/>
  <c r="C148" i="19"/>
  <c r="D148" i="19" s="1"/>
  <c r="C147" i="19"/>
  <c r="D147" i="19" s="1"/>
  <c r="B147" i="19"/>
  <c r="C146" i="19"/>
  <c r="D146" i="19" s="1"/>
  <c r="B145" i="19"/>
  <c r="C145" i="19" s="1"/>
  <c r="D145" i="19" s="1"/>
  <c r="D144" i="19"/>
  <c r="D143" i="19" s="1"/>
  <c r="C144" i="19"/>
  <c r="C143" i="19" s="1"/>
  <c r="B143" i="19"/>
  <c r="C142" i="19"/>
  <c r="D142" i="19" s="1"/>
  <c r="B141" i="19"/>
  <c r="C141" i="19" s="1"/>
  <c r="D141" i="19" s="1"/>
  <c r="D140" i="19"/>
  <c r="C140" i="19"/>
  <c r="C139" i="19"/>
  <c r="D139" i="19" s="1"/>
  <c r="B138" i="19"/>
  <c r="C138" i="19" s="1"/>
  <c r="D138" i="19" s="1"/>
  <c r="D137" i="19"/>
  <c r="C137" i="19"/>
  <c r="C136" i="19"/>
  <c r="D136" i="19" s="1"/>
  <c r="C135" i="19"/>
  <c r="D135" i="19" s="1"/>
  <c r="C134" i="19"/>
  <c r="D134" i="19" s="1"/>
  <c r="D133" i="19"/>
  <c r="C133" i="19"/>
  <c r="B133" i="19"/>
  <c r="B129" i="19"/>
  <c r="D128" i="19"/>
  <c r="C128" i="19"/>
  <c r="C127" i="19"/>
  <c r="D127" i="19" s="1"/>
  <c r="C126" i="19"/>
  <c r="D126" i="19" s="1"/>
  <c r="D125" i="19"/>
  <c r="C125" i="19"/>
  <c r="D124" i="19"/>
  <c r="C124" i="19"/>
  <c r="C119" i="19"/>
  <c r="D119" i="19" s="1"/>
  <c r="D118" i="19"/>
  <c r="C118" i="19"/>
  <c r="B117" i="19"/>
  <c r="C117" i="19" s="1"/>
  <c r="D117" i="19" s="1"/>
  <c r="B116" i="19"/>
  <c r="D115" i="19"/>
  <c r="C115" i="19"/>
  <c r="C114" i="19"/>
  <c r="D114" i="19" s="1"/>
  <c r="C113" i="19"/>
  <c r="D113" i="19" s="1"/>
  <c r="C112" i="19"/>
  <c r="D112" i="19" s="1"/>
  <c r="C110" i="19"/>
  <c r="D110" i="19" s="1"/>
  <c r="B109" i="19"/>
  <c r="C109" i="19" s="1"/>
  <c r="D109" i="19" s="1"/>
  <c r="D108" i="19"/>
  <c r="C108" i="19"/>
  <c r="C107" i="19"/>
  <c r="D107" i="19" s="1"/>
  <c r="C106" i="19"/>
  <c r="D106" i="19" s="1"/>
  <c r="B105" i="19"/>
  <c r="C105" i="19" s="1"/>
  <c r="D105" i="19" s="1"/>
  <c r="C104" i="19"/>
  <c r="D104" i="19" s="1"/>
  <c r="B103" i="19"/>
  <c r="C103" i="19" s="1"/>
  <c r="D103" i="19" s="1"/>
  <c r="C102" i="19"/>
  <c r="D102" i="19" s="1"/>
  <c r="D101" i="19"/>
  <c r="C101" i="19"/>
  <c r="B100" i="19"/>
  <c r="C100" i="19" s="1"/>
  <c r="D100" i="19" s="1"/>
  <c r="C99" i="19"/>
  <c r="D99" i="19" s="1"/>
  <c r="C98" i="19"/>
  <c r="D98" i="19" s="1"/>
  <c r="D97" i="19"/>
  <c r="C97" i="19"/>
  <c r="B96" i="19"/>
  <c r="C96" i="19" s="1"/>
  <c r="D96" i="19" s="1"/>
  <c r="C95" i="19"/>
  <c r="D95" i="19" s="1"/>
  <c r="D94" i="19"/>
  <c r="C94" i="19"/>
  <c r="C93" i="19"/>
  <c r="D93" i="19" s="1"/>
  <c r="C92" i="19"/>
  <c r="D92" i="19" s="1"/>
  <c r="D91" i="19" s="1"/>
  <c r="B91" i="19"/>
  <c r="D90" i="19"/>
  <c r="C90" i="19"/>
  <c r="C89" i="19"/>
  <c r="D89" i="19" s="1"/>
  <c r="C88" i="19"/>
  <c r="D88" i="19" s="1"/>
  <c r="C87" i="19"/>
  <c r="C83" i="19" s="1"/>
  <c r="D86" i="19"/>
  <c r="C86" i="19"/>
  <c r="C85" i="19"/>
  <c r="D85" i="19" s="1"/>
  <c r="C84" i="19"/>
  <c r="D84" i="19" s="1"/>
  <c r="B83" i="19"/>
  <c r="C82" i="19"/>
  <c r="D82" i="19" s="1"/>
  <c r="B81" i="19"/>
  <c r="C81" i="19" s="1"/>
  <c r="D81" i="19" s="1"/>
  <c r="C80" i="19"/>
  <c r="D80" i="19" s="1"/>
  <c r="B79" i="19"/>
  <c r="C79" i="19" s="1"/>
  <c r="D79" i="19" s="1"/>
  <c r="C77" i="19"/>
  <c r="D77" i="19" s="1"/>
  <c r="B76" i="19"/>
  <c r="D75" i="19"/>
  <c r="C75" i="19"/>
  <c r="C74" i="19"/>
  <c r="D74" i="19" s="1"/>
  <c r="C73" i="19"/>
  <c r="D73" i="19" s="1"/>
  <c r="C72" i="19"/>
  <c r="B72" i="19"/>
  <c r="C71" i="19"/>
  <c r="D71" i="19" s="1"/>
  <c r="C70" i="19"/>
  <c r="D70" i="19" s="1"/>
  <c r="C69" i="19"/>
  <c r="D69" i="19" s="1"/>
  <c r="D68" i="19"/>
  <c r="D67" i="19" s="1"/>
  <c r="C68" i="19"/>
  <c r="C67" i="19"/>
  <c r="B67" i="19"/>
  <c r="C62" i="19"/>
  <c r="D62" i="19" s="1"/>
  <c r="C61" i="19"/>
  <c r="D61" i="19" s="1"/>
  <c r="C60" i="19"/>
  <c r="D60" i="19" s="1"/>
  <c r="B63" i="19"/>
  <c r="J11" i="35" s="1"/>
  <c r="C56" i="19"/>
  <c r="D56" i="19" s="1"/>
  <c r="D55" i="19"/>
  <c r="C55" i="19"/>
  <c r="B55" i="19"/>
  <c r="B51" i="19" s="1"/>
  <c r="C54" i="19"/>
  <c r="D54" i="19" s="1"/>
  <c r="C53" i="19"/>
  <c r="D53" i="19" s="1"/>
  <c r="C52" i="19"/>
  <c r="C51" i="19" s="1"/>
  <c r="C50" i="19"/>
  <c r="D50" i="19" s="1"/>
  <c r="C49" i="19"/>
  <c r="D49" i="19" s="1"/>
  <c r="C48" i="19"/>
  <c r="D48" i="19" s="1"/>
  <c r="D47" i="19"/>
  <c r="C47" i="19"/>
  <c r="B46" i="19"/>
  <c r="C46" i="19" s="1"/>
  <c r="D46" i="19" s="1"/>
  <c r="C45" i="19"/>
  <c r="D45" i="19" s="1"/>
  <c r="D44" i="19"/>
  <c r="C44" i="19"/>
  <c r="B44" i="19"/>
  <c r="C43" i="19"/>
  <c r="D43" i="19" s="1"/>
  <c r="C42" i="19"/>
  <c r="D42" i="19" s="1"/>
  <c r="C41" i="19"/>
  <c r="D41" i="19" s="1"/>
  <c r="B40" i="19"/>
  <c r="C40" i="19" s="1"/>
  <c r="D40" i="19" s="1"/>
  <c r="B39" i="19"/>
  <c r="C37" i="19"/>
  <c r="D37" i="19" s="1"/>
  <c r="C36" i="19"/>
  <c r="D36" i="19" s="1"/>
  <c r="B35" i="19"/>
  <c r="C35" i="19" s="1"/>
  <c r="D35" i="19" s="1"/>
  <c r="D34" i="19"/>
  <c r="C34" i="19"/>
  <c r="C33" i="19"/>
  <c r="D33" i="19" s="1"/>
  <c r="B32" i="19"/>
  <c r="C32" i="19" s="1"/>
  <c r="D32" i="19" s="1"/>
  <c r="D31" i="19"/>
  <c r="C31" i="19"/>
  <c r="C30" i="19"/>
  <c r="D30" i="19" s="1"/>
  <c r="B29" i="19"/>
  <c r="C29" i="19" s="1"/>
  <c r="D29" i="19" s="1"/>
  <c r="C28" i="19"/>
  <c r="C26" i="19" s="1"/>
  <c r="D27" i="19"/>
  <c r="C27" i="19"/>
  <c r="B26" i="19"/>
  <c r="C25" i="19"/>
  <c r="C21" i="19" s="1"/>
  <c r="D24" i="19"/>
  <c r="C24" i="19"/>
  <c r="C23" i="19"/>
  <c r="D23" i="19" s="1"/>
  <c r="C22" i="19"/>
  <c r="D22" i="19" s="1"/>
  <c r="B21" i="19"/>
  <c r="D20" i="19"/>
  <c r="C20" i="19"/>
  <c r="C19" i="19"/>
  <c r="D19" i="19" s="1"/>
  <c r="B18" i="19"/>
  <c r="C18" i="19" s="1"/>
  <c r="D18" i="19" s="1"/>
  <c r="D17" i="19"/>
  <c r="C17" i="19"/>
  <c r="B16" i="19"/>
  <c r="C16" i="19" s="1"/>
  <c r="D16" i="19" s="1"/>
  <c r="C15" i="19"/>
  <c r="D15" i="19" s="1"/>
  <c r="D14" i="19" s="1"/>
  <c r="B14" i="19"/>
  <c r="C13" i="19"/>
  <c r="D13" i="19" s="1"/>
  <c r="B12" i="19"/>
  <c r="C12" i="19" s="1"/>
  <c r="D12" i="19" s="1"/>
  <c r="C11" i="19"/>
  <c r="D11" i="19" s="1"/>
  <c r="D10" i="19"/>
  <c r="C10" i="19"/>
  <c r="C9" i="19"/>
  <c r="D9" i="19" s="1"/>
  <c r="B8" i="19"/>
  <c r="C8" i="19" s="1"/>
  <c r="D8" i="19" s="1"/>
  <c r="D7" i="19"/>
  <c r="C7" i="19"/>
  <c r="C6" i="19"/>
  <c r="D6" i="19" s="1"/>
  <c r="B5" i="19"/>
  <c r="B1271" i="21"/>
  <c r="C1271" i="21" s="1"/>
  <c r="D1271" i="21" s="1"/>
  <c r="C1270" i="21"/>
  <c r="D1270" i="21" s="1"/>
  <c r="C1269" i="21"/>
  <c r="D1269" i="21" s="1"/>
  <c r="C1268" i="21"/>
  <c r="D1268" i="21" s="1"/>
  <c r="C1267" i="21"/>
  <c r="D1267" i="21" s="1"/>
  <c r="C1266" i="21"/>
  <c r="D1266" i="21" s="1"/>
  <c r="C1265" i="21"/>
  <c r="D1265" i="21" s="1"/>
  <c r="C1264" i="21"/>
  <c r="D1264" i="21" s="1"/>
  <c r="C1262" i="21"/>
  <c r="D1262" i="21" s="1"/>
  <c r="C1261" i="21"/>
  <c r="D1261" i="21" s="1"/>
  <c r="C1260" i="21"/>
  <c r="D1260" i="21" s="1"/>
  <c r="C1259" i="21"/>
  <c r="D1259" i="21" s="1"/>
  <c r="C1258" i="21"/>
  <c r="D1258" i="21" s="1"/>
  <c r="C1257" i="21"/>
  <c r="D1257" i="21" s="1"/>
  <c r="C1256" i="21"/>
  <c r="D1256" i="21" s="1"/>
  <c r="C1255" i="21"/>
  <c r="D1255" i="21" s="1"/>
  <c r="C1254" i="21"/>
  <c r="D1254" i="21" s="1"/>
  <c r="C1253" i="21"/>
  <c r="D1253" i="21" s="1"/>
  <c r="C1252" i="21"/>
  <c r="D1252" i="21" s="1"/>
  <c r="C1251" i="21"/>
  <c r="D1251" i="21" s="1"/>
  <c r="C1250" i="21"/>
  <c r="D1250" i="21" s="1"/>
  <c r="C1249" i="21"/>
  <c r="D1249" i="21" s="1"/>
  <c r="C1248" i="21"/>
  <c r="D1248" i="21" s="1"/>
  <c r="C1247" i="21"/>
  <c r="D1247" i="21" s="1"/>
  <c r="C1246" i="21"/>
  <c r="D1246" i="21" s="1"/>
  <c r="B1245" i="21"/>
  <c r="C1245" i="21" s="1"/>
  <c r="D1245" i="21" s="1"/>
  <c r="C1244" i="21"/>
  <c r="D1244" i="21" s="1"/>
  <c r="C1243" i="21"/>
  <c r="D1243" i="21" s="1"/>
  <c r="C1242" i="21"/>
  <c r="D1242" i="21" s="1"/>
  <c r="C1241" i="21"/>
  <c r="D1241" i="21" s="1"/>
  <c r="C1240" i="21"/>
  <c r="D1240" i="21" s="1"/>
  <c r="C1239" i="21"/>
  <c r="D1239" i="21" s="1"/>
  <c r="B1238" i="21"/>
  <c r="C1238" i="21" s="1"/>
  <c r="D1238" i="21" s="1"/>
  <c r="C1237" i="21"/>
  <c r="D1237" i="21" s="1"/>
  <c r="C1236" i="21"/>
  <c r="D1236" i="21" s="1"/>
  <c r="B1235" i="21"/>
  <c r="C1235" i="21" s="1"/>
  <c r="D1235" i="21" s="1"/>
  <c r="C1234" i="21"/>
  <c r="D1234" i="21" s="1"/>
  <c r="C1233" i="21"/>
  <c r="D1233" i="21" s="1"/>
  <c r="C1232" i="21"/>
  <c r="D1232" i="21" s="1"/>
  <c r="B1231" i="21"/>
  <c r="C1230" i="21"/>
  <c r="D1230" i="21" s="1"/>
  <c r="C1229" i="21"/>
  <c r="D1229" i="21" s="1"/>
  <c r="C1228" i="21"/>
  <c r="D1228" i="21" s="1"/>
  <c r="C1227" i="21"/>
  <c r="D1227" i="21" s="1"/>
  <c r="C1226" i="21"/>
  <c r="D1226" i="21" s="1"/>
  <c r="C1225" i="21"/>
  <c r="D1225" i="21" s="1"/>
  <c r="C1224" i="21"/>
  <c r="D1224" i="21" s="1"/>
  <c r="C1223" i="21"/>
  <c r="D1223" i="21" s="1"/>
  <c r="C1222" i="21"/>
  <c r="D1222" i="21" s="1"/>
  <c r="C1221" i="21"/>
  <c r="D1221" i="21" s="1"/>
  <c r="B1220" i="21"/>
  <c r="C1220" i="21" s="1"/>
  <c r="D1220" i="21" s="1"/>
  <c r="C1219" i="21"/>
  <c r="D1219" i="21" s="1"/>
  <c r="C1218" i="21"/>
  <c r="D1218" i="21" s="1"/>
  <c r="C1217" i="21"/>
  <c r="D1217" i="21" s="1"/>
  <c r="C1216" i="21"/>
  <c r="D1216" i="21" s="1"/>
  <c r="B1215" i="21"/>
  <c r="C1215" i="21" s="1"/>
  <c r="D1215" i="21" s="1"/>
  <c r="C1214" i="21"/>
  <c r="D1214" i="21" s="1"/>
  <c r="C1213" i="21"/>
  <c r="D1213" i="21" s="1"/>
  <c r="C1212" i="21"/>
  <c r="D1212" i="21" s="1"/>
  <c r="C1211" i="21"/>
  <c r="D1211" i="21" s="1"/>
  <c r="C1210" i="21"/>
  <c r="D1210" i="21" s="1"/>
  <c r="C1209" i="21"/>
  <c r="D1209" i="21" s="1"/>
  <c r="C1208" i="21"/>
  <c r="D1208" i="21" s="1"/>
  <c r="D1207" i="21"/>
  <c r="C1207" i="21"/>
  <c r="C1206" i="21"/>
  <c r="D1206" i="21" s="1"/>
  <c r="B1205" i="21"/>
  <c r="C1205" i="21" s="1"/>
  <c r="D1205" i="21" s="1"/>
  <c r="C1204" i="21"/>
  <c r="D1204" i="21" s="1"/>
  <c r="C1203" i="21"/>
  <c r="D1203" i="21" s="1"/>
  <c r="D1202" i="21"/>
  <c r="C1202" i="21"/>
  <c r="C1201" i="21"/>
  <c r="D1201" i="21" s="1"/>
  <c r="C1200" i="21"/>
  <c r="D1200" i="21" s="1"/>
  <c r="C1199" i="21"/>
  <c r="D1199" i="21" s="1"/>
  <c r="C1198" i="21"/>
  <c r="D1198" i="21" s="1"/>
  <c r="B1197" i="21"/>
  <c r="C1197" i="21" s="1"/>
  <c r="D1197" i="21" s="1"/>
  <c r="C1196" i="21"/>
  <c r="D1196" i="21" s="1"/>
  <c r="C1195" i="21"/>
  <c r="D1195" i="21" s="1"/>
  <c r="C1194" i="21"/>
  <c r="D1194" i="21" s="1"/>
  <c r="B1193" i="21"/>
  <c r="C1193" i="21" s="1"/>
  <c r="D1193" i="21" s="1"/>
  <c r="C1192" i="21"/>
  <c r="D1192" i="21" s="1"/>
  <c r="C1191" i="21"/>
  <c r="D1191" i="21" s="1"/>
  <c r="B1190" i="21"/>
  <c r="C1190" i="21" s="1"/>
  <c r="D1190" i="21" s="1"/>
  <c r="C1189" i="21"/>
  <c r="D1189" i="21" s="1"/>
  <c r="C1188" i="21"/>
  <c r="D1188" i="21" s="1"/>
  <c r="C1187" i="21"/>
  <c r="D1187" i="21" s="1"/>
  <c r="C1186" i="21"/>
  <c r="D1186" i="21" s="1"/>
  <c r="C1185" i="21"/>
  <c r="D1185" i="21" s="1"/>
  <c r="C1184" i="21"/>
  <c r="D1184" i="21" s="1"/>
  <c r="C1183" i="21"/>
  <c r="D1183" i="21" s="1"/>
  <c r="C1182" i="21"/>
  <c r="D1182" i="21" s="1"/>
  <c r="C1181" i="21"/>
  <c r="D1181" i="21" s="1"/>
  <c r="D1180" i="21"/>
  <c r="C1176" i="21"/>
  <c r="C1174" i="21"/>
  <c r="C1173" i="21"/>
  <c r="C1172" i="21"/>
  <c r="C1171" i="21"/>
  <c r="C1170" i="21"/>
  <c r="C1169" i="21"/>
  <c r="C1168" i="21"/>
  <c r="C1167" i="21"/>
  <c r="C1165" i="21"/>
  <c r="D1165" i="21" s="1"/>
  <c r="C1164" i="21"/>
  <c r="D1164" i="21" s="1"/>
  <c r="C1163" i="21"/>
  <c r="D1163" i="21" s="1"/>
  <c r="C1162" i="21"/>
  <c r="D1162" i="21" s="1"/>
  <c r="C1161" i="21"/>
  <c r="D1161" i="21" s="1"/>
  <c r="C1160" i="21"/>
  <c r="D1160" i="21" s="1"/>
  <c r="C1159" i="21"/>
  <c r="D1159" i="21" s="1"/>
  <c r="C1158" i="21"/>
  <c r="D1158" i="21" s="1"/>
  <c r="B1157" i="21"/>
  <c r="C1157" i="21" s="1"/>
  <c r="D1157" i="21" s="1"/>
  <c r="C1156" i="21"/>
  <c r="D1156" i="21" s="1"/>
  <c r="B1155" i="21"/>
  <c r="C1155" i="21" s="1"/>
  <c r="D1155" i="21" s="1"/>
  <c r="C1154" i="21"/>
  <c r="D1154" i="21" s="1"/>
  <c r="C1153" i="21"/>
  <c r="D1153" i="21" s="1"/>
  <c r="C1152" i="21"/>
  <c r="D1152" i="21" s="1"/>
  <c r="C1151" i="21"/>
  <c r="D1151" i="21" s="1"/>
  <c r="C1150" i="21"/>
  <c r="D1150" i="21" s="1"/>
  <c r="C1149" i="21"/>
  <c r="D1149" i="21" s="1"/>
  <c r="B1148" i="21"/>
  <c r="C1147" i="21"/>
  <c r="D1147" i="21" s="1"/>
  <c r="B1146" i="21"/>
  <c r="C1146" i="21" s="1"/>
  <c r="D1146" i="21" s="1"/>
  <c r="C1145" i="21"/>
  <c r="D1145" i="21" s="1"/>
  <c r="C1144" i="21"/>
  <c r="D1144" i="21" s="1"/>
  <c r="C1143" i="21"/>
  <c r="D1143" i="21" s="1"/>
  <c r="C1142" i="21"/>
  <c r="D1142" i="21" s="1"/>
  <c r="B1141" i="21"/>
  <c r="C1141" i="21" s="1"/>
  <c r="D1141" i="21" s="1"/>
  <c r="C1139" i="21"/>
  <c r="D1139" i="21" s="1"/>
  <c r="C1138" i="21"/>
  <c r="D1138" i="21" s="1"/>
  <c r="B1137" i="21"/>
  <c r="C1137" i="21" s="1"/>
  <c r="D1137" i="21" s="1"/>
  <c r="C1136" i="21"/>
  <c r="D1136" i="21" s="1"/>
  <c r="C1135" i="21"/>
  <c r="D1135" i="21" s="1"/>
  <c r="C1134" i="21"/>
  <c r="D1134" i="21" s="1"/>
  <c r="B1133" i="21"/>
  <c r="C1133" i="21" s="1"/>
  <c r="D1133" i="21" s="1"/>
  <c r="C1132" i="21"/>
  <c r="D1132" i="21" s="1"/>
  <c r="C1131" i="21"/>
  <c r="D1131" i="21" s="1"/>
  <c r="C1130" i="21"/>
  <c r="D1130" i="21" s="1"/>
  <c r="C1129" i="21"/>
  <c r="D1129" i="21" s="1"/>
  <c r="C1128" i="21"/>
  <c r="D1128" i="21" s="1"/>
  <c r="C1127" i="21"/>
  <c r="D1127" i="21" s="1"/>
  <c r="C1126" i="21"/>
  <c r="D1126" i="21" s="1"/>
  <c r="C1125" i="21"/>
  <c r="D1125" i="21" s="1"/>
  <c r="C1124" i="21"/>
  <c r="D1124" i="21" s="1"/>
  <c r="C1123" i="21"/>
  <c r="D1123" i="21" s="1"/>
  <c r="B1122" i="21"/>
  <c r="C1122" i="21" s="1"/>
  <c r="D1122" i="21" s="1"/>
  <c r="D1121" i="21"/>
  <c r="C1121" i="21"/>
  <c r="B1120" i="21"/>
  <c r="C1120" i="21" s="1"/>
  <c r="D1120" i="21" s="1"/>
  <c r="C1119" i="21"/>
  <c r="D1119" i="21" s="1"/>
  <c r="C1118" i="21"/>
  <c r="D1118" i="21" s="1"/>
  <c r="B1117" i="21"/>
  <c r="C1117" i="21" s="1"/>
  <c r="D1117" i="21" s="1"/>
  <c r="C1116" i="21"/>
  <c r="D1116" i="21" s="1"/>
  <c r="C1115" i="21"/>
  <c r="D1115" i="21" s="1"/>
  <c r="B1114" i="21"/>
  <c r="C1114" i="21" s="1"/>
  <c r="D1114" i="21" s="1"/>
  <c r="C1113" i="21"/>
  <c r="D1113" i="21" s="1"/>
  <c r="B1112" i="21"/>
  <c r="C1112" i="21" s="1"/>
  <c r="D1112" i="21" s="1"/>
  <c r="C1111" i="21"/>
  <c r="D1111" i="21" s="1"/>
  <c r="C1110" i="21"/>
  <c r="D1110" i="21" s="1"/>
  <c r="C1109" i="21"/>
  <c r="D1109" i="21" s="1"/>
  <c r="C1108" i="21"/>
  <c r="D1108" i="21" s="1"/>
  <c r="D1107" i="21"/>
  <c r="B1107" i="21"/>
  <c r="C1107" i="21" s="1"/>
  <c r="C1106" i="21"/>
  <c r="D1106" i="21" s="1"/>
  <c r="C1105" i="21"/>
  <c r="D1105" i="21" s="1"/>
  <c r="C1104" i="21"/>
  <c r="D1104" i="21" s="1"/>
  <c r="B1103" i="21"/>
  <c r="C1103" i="21" s="1"/>
  <c r="D1103" i="21" s="1"/>
  <c r="C1102" i="21"/>
  <c r="D1102" i="21" s="1"/>
  <c r="C1101" i="21"/>
  <c r="D1101" i="21" s="1"/>
  <c r="C1100" i="21"/>
  <c r="D1100" i="21" s="1"/>
  <c r="B1099" i="21"/>
  <c r="C1099" i="21" s="1"/>
  <c r="D1099" i="21" s="1"/>
  <c r="C1098" i="21"/>
  <c r="D1098" i="21" s="1"/>
  <c r="C1097" i="21"/>
  <c r="D1097" i="21" s="1"/>
  <c r="C1096" i="21"/>
  <c r="D1096" i="21" s="1"/>
  <c r="B1095" i="21"/>
  <c r="C1095" i="21" s="1"/>
  <c r="D1095" i="21" s="1"/>
  <c r="C1094" i="21"/>
  <c r="D1094" i="21" s="1"/>
  <c r="C1093" i="21"/>
  <c r="D1093" i="21" s="1"/>
  <c r="B1092" i="21"/>
  <c r="C1092" i="21" s="1"/>
  <c r="D1092" i="21" s="1"/>
  <c r="C1091" i="21"/>
  <c r="C1090" i="21"/>
  <c r="C1089" i="21"/>
  <c r="C1088" i="21"/>
  <c r="C1087" i="21"/>
  <c r="C1086" i="21"/>
  <c r="C1085" i="21"/>
  <c r="C1084" i="21"/>
  <c r="C1083" i="21"/>
  <c r="C1082" i="21"/>
  <c r="C1080" i="21"/>
  <c r="C1079" i="21"/>
  <c r="C1078" i="21"/>
  <c r="C1077" i="21"/>
  <c r="C1075" i="21"/>
  <c r="D1075" i="21" s="1"/>
  <c r="C1074" i="21"/>
  <c r="D1074" i="21" s="1"/>
  <c r="C1073" i="21"/>
  <c r="D1073" i="21" s="1"/>
  <c r="C1072" i="21"/>
  <c r="D1072" i="21" s="1"/>
  <c r="C1071" i="21"/>
  <c r="D1071" i="21" s="1"/>
  <c r="D1070" i="21"/>
  <c r="C1070" i="21"/>
  <c r="C1069" i="21"/>
  <c r="D1069" i="21" s="1"/>
  <c r="C1068" i="21"/>
  <c r="D1068" i="21" s="1"/>
  <c r="B1067" i="21"/>
  <c r="C1067" i="21" s="1"/>
  <c r="D1067" i="21" s="1"/>
  <c r="C1066" i="21"/>
  <c r="D1066" i="21" s="1"/>
  <c r="B1065" i="21"/>
  <c r="C1064" i="21"/>
  <c r="D1064" i="21" s="1"/>
  <c r="C1063" i="21"/>
  <c r="D1063" i="21" s="1"/>
  <c r="C1062" i="21"/>
  <c r="D1062" i="21" s="1"/>
  <c r="C1061" i="21"/>
  <c r="D1061" i="21" s="1"/>
  <c r="C1060" i="21"/>
  <c r="D1060" i="21" s="1"/>
  <c r="C1059" i="21"/>
  <c r="D1059" i="21" s="1"/>
  <c r="B1058" i="21"/>
  <c r="C1058" i="21" s="1"/>
  <c r="D1058" i="21" s="1"/>
  <c r="C1057" i="21"/>
  <c r="D1057" i="21" s="1"/>
  <c r="C1056" i="21"/>
  <c r="D1056" i="21" s="1"/>
  <c r="B1056" i="21"/>
  <c r="C1055" i="21"/>
  <c r="D1055" i="21" s="1"/>
  <c r="C1054" i="21"/>
  <c r="D1054" i="21" s="1"/>
  <c r="C1053" i="21"/>
  <c r="D1053" i="21" s="1"/>
  <c r="C1052" i="21"/>
  <c r="D1052" i="21" s="1"/>
  <c r="C1051" i="21"/>
  <c r="D1051" i="21" s="1"/>
  <c r="B1050" i="21"/>
  <c r="C1050" i="21" s="1"/>
  <c r="D1050" i="21" s="1"/>
  <c r="C1049" i="21"/>
  <c r="D1049" i="21" s="1"/>
  <c r="C1048" i="21"/>
  <c r="D1048" i="21" s="1"/>
  <c r="B1047" i="21"/>
  <c r="C1047" i="21" s="1"/>
  <c r="D1047" i="21" s="1"/>
  <c r="C1046" i="21"/>
  <c r="D1046" i="21" s="1"/>
  <c r="C1045" i="21"/>
  <c r="D1045" i="21" s="1"/>
  <c r="C1044" i="21"/>
  <c r="D1044" i="21" s="1"/>
  <c r="B1043" i="21"/>
  <c r="C1043" i="21" s="1"/>
  <c r="D1043" i="21" s="1"/>
  <c r="C1042" i="21"/>
  <c r="D1042" i="21" s="1"/>
  <c r="C1041" i="21"/>
  <c r="D1041" i="21" s="1"/>
  <c r="C1040" i="21"/>
  <c r="D1040" i="21" s="1"/>
  <c r="C1039" i="21"/>
  <c r="D1039" i="21" s="1"/>
  <c r="C1038" i="21"/>
  <c r="D1038" i="21" s="1"/>
  <c r="C1037" i="21"/>
  <c r="D1037" i="21" s="1"/>
  <c r="C1036" i="21"/>
  <c r="D1036" i="21" s="1"/>
  <c r="C1035" i="21"/>
  <c r="D1035" i="21" s="1"/>
  <c r="C1034" i="21"/>
  <c r="D1034" i="21" s="1"/>
  <c r="C1033" i="21"/>
  <c r="D1033" i="21" s="1"/>
  <c r="B1032" i="21"/>
  <c r="C1032" i="21" s="1"/>
  <c r="D1032" i="21" s="1"/>
  <c r="C1031" i="21"/>
  <c r="D1031" i="21" s="1"/>
  <c r="C1030" i="21"/>
  <c r="D1030" i="21" s="1"/>
  <c r="C1029" i="21"/>
  <c r="D1029" i="21" s="1"/>
  <c r="C1028" i="21"/>
  <c r="D1028" i="21" s="1"/>
  <c r="B1027" i="21"/>
  <c r="C1027" i="21" s="1"/>
  <c r="D1027" i="21" s="1"/>
  <c r="C1026" i="21"/>
  <c r="D1026" i="21" s="1"/>
  <c r="C1025" i="21"/>
  <c r="D1025" i="21" s="1"/>
  <c r="C1024" i="21"/>
  <c r="D1024" i="21" s="1"/>
  <c r="C1023" i="21"/>
  <c r="D1023" i="21" s="1"/>
  <c r="B1022" i="21"/>
  <c r="C1022" i="21" s="1"/>
  <c r="D1022" i="21" s="1"/>
  <c r="C1021" i="21"/>
  <c r="D1021" i="21" s="1"/>
  <c r="C1020" i="21"/>
  <c r="D1020" i="21" s="1"/>
  <c r="C1019" i="21"/>
  <c r="D1019" i="21" s="1"/>
  <c r="C1018" i="21"/>
  <c r="D1018" i="21" s="1"/>
  <c r="B1017" i="21"/>
  <c r="C1017" i="21" s="1"/>
  <c r="D1017" i="21" s="1"/>
  <c r="C1016" i="21"/>
  <c r="D1016" i="21" s="1"/>
  <c r="C1015" i="21"/>
  <c r="D1015" i="21" s="1"/>
  <c r="C1014" i="21"/>
  <c r="D1014" i="21" s="1"/>
  <c r="C1013" i="21"/>
  <c r="D1013" i="21" s="1"/>
  <c r="C1012" i="21"/>
  <c r="D1012" i="21" s="1"/>
  <c r="C1011" i="21"/>
  <c r="D1011" i="21" s="1"/>
  <c r="C1010" i="21"/>
  <c r="D1010" i="21" s="1"/>
  <c r="B1009" i="21"/>
  <c r="C1009" i="21" s="1"/>
  <c r="D1009" i="21" s="1"/>
  <c r="C1008" i="21"/>
  <c r="D1008" i="21" s="1"/>
  <c r="C1007" i="21"/>
  <c r="D1007" i="21" s="1"/>
  <c r="C1006" i="21"/>
  <c r="D1006" i="21" s="1"/>
  <c r="B1005" i="21"/>
  <c r="C1005" i="21" s="1"/>
  <c r="D1005" i="21" s="1"/>
  <c r="C1004" i="21"/>
  <c r="D1004" i="21" s="1"/>
  <c r="C1003" i="21"/>
  <c r="D1003" i="21" s="1"/>
  <c r="B1002" i="21"/>
  <c r="C1002" i="21" s="1"/>
  <c r="D1002" i="21" s="1"/>
  <c r="C1001" i="21"/>
  <c r="C1000" i="21"/>
  <c r="C999" i="21"/>
  <c r="C996" i="21"/>
  <c r="D996" i="21" s="1"/>
  <c r="C995" i="21"/>
  <c r="D995" i="21" s="1"/>
  <c r="C994" i="21"/>
  <c r="D994" i="21" s="1"/>
  <c r="D993" i="21"/>
  <c r="C993" i="21"/>
  <c r="C992" i="21"/>
  <c r="D992" i="21" s="1"/>
  <c r="C991" i="21"/>
  <c r="D991" i="21" s="1"/>
  <c r="C990" i="21"/>
  <c r="D990" i="21" s="1"/>
  <c r="C989" i="21"/>
  <c r="D989" i="21" s="1"/>
  <c r="C987" i="21"/>
  <c r="D987" i="21" s="1"/>
  <c r="C986" i="21"/>
  <c r="D986" i="21" s="1"/>
  <c r="D985" i="21"/>
  <c r="C985" i="21"/>
  <c r="C984" i="21"/>
  <c r="D984" i="21" s="1"/>
  <c r="B983" i="21"/>
  <c r="C983" i="21" s="1"/>
  <c r="D983" i="21" s="1"/>
  <c r="C982" i="21"/>
  <c r="D982" i="21" s="1"/>
  <c r="C981" i="21"/>
  <c r="D981" i="21" s="1"/>
  <c r="C980" i="21"/>
  <c r="D980" i="21" s="1"/>
  <c r="C979" i="21"/>
  <c r="D979" i="21" s="1"/>
  <c r="B978" i="21"/>
  <c r="C977" i="21"/>
  <c r="D977" i="21" s="1"/>
  <c r="B976" i="21"/>
  <c r="C976" i="21" s="1"/>
  <c r="D976" i="21" s="1"/>
  <c r="C975" i="21"/>
  <c r="D975" i="21" s="1"/>
  <c r="C974" i="21"/>
  <c r="D974" i="21" s="1"/>
  <c r="C973" i="21"/>
  <c r="D973" i="21" s="1"/>
  <c r="C972" i="21"/>
  <c r="D972" i="21" s="1"/>
  <c r="C971" i="21"/>
  <c r="D971" i="21" s="1"/>
  <c r="C970" i="21"/>
  <c r="D970" i="21" s="1"/>
  <c r="B969" i="21"/>
  <c r="C969" i="21" s="1"/>
  <c r="D969" i="21" s="1"/>
  <c r="C968" i="21"/>
  <c r="D968" i="21" s="1"/>
  <c r="B967" i="21"/>
  <c r="C967" i="21" s="1"/>
  <c r="D967" i="21" s="1"/>
  <c r="C966" i="21"/>
  <c r="D966" i="21" s="1"/>
  <c r="C965" i="21"/>
  <c r="D965" i="21" s="1"/>
  <c r="C964" i="21"/>
  <c r="D964" i="21" s="1"/>
  <c r="C963" i="21"/>
  <c r="D963" i="21" s="1"/>
  <c r="C962" i="21"/>
  <c r="D962" i="21" s="1"/>
  <c r="B961" i="21"/>
  <c r="C961" i="21" s="1"/>
  <c r="D961" i="21" s="1"/>
  <c r="C960" i="21"/>
  <c r="D960" i="21" s="1"/>
  <c r="C959" i="21"/>
  <c r="D959" i="21" s="1"/>
  <c r="B958" i="21"/>
  <c r="C958" i="21" s="1"/>
  <c r="D958" i="21" s="1"/>
  <c r="C957" i="21"/>
  <c r="D957" i="21" s="1"/>
  <c r="C956" i="21"/>
  <c r="D956" i="21" s="1"/>
  <c r="C955" i="21"/>
  <c r="D955" i="21" s="1"/>
  <c r="B954" i="21"/>
  <c r="C954" i="21" s="1"/>
  <c r="D954" i="21" s="1"/>
  <c r="C953" i="21"/>
  <c r="D953" i="21" s="1"/>
  <c r="C952" i="21"/>
  <c r="D952" i="21" s="1"/>
  <c r="C951" i="21"/>
  <c r="D951" i="21" s="1"/>
  <c r="C950" i="21"/>
  <c r="D950" i="21" s="1"/>
  <c r="C949" i="21"/>
  <c r="D949" i="21" s="1"/>
  <c r="C948" i="21"/>
  <c r="D948" i="21" s="1"/>
  <c r="C947" i="21"/>
  <c r="D947" i="21" s="1"/>
  <c r="C946" i="21"/>
  <c r="D946" i="21" s="1"/>
  <c r="C945" i="21"/>
  <c r="D945" i="21" s="1"/>
  <c r="C944" i="21"/>
  <c r="D944" i="21" s="1"/>
  <c r="B943" i="21"/>
  <c r="C943" i="21" s="1"/>
  <c r="D943" i="21" s="1"/>
  <c r="C942" i="21"/>
  <c r="D942" i="21" s="1"/>
  <c r="C941" i="21"/>
  <c r="D941" i="21" s="1"/>
  <c r="C940" i="21"/>
  <c r="D940" i="21" s="1"/>
  <c r="C939" i="21"/>
  <c r="D939" i="21" s="1"/>
  <c r="B938" i="21"/>
  <c r="C938" i="21" s="1"/>
  <c r="D938" i="21" s="1"/>
  <c r="C937" i="21"/>
  <c r="D937" i="21" s="1"/>
  <c r="C936" i="21"/>
  <c r="D936" i="21" s="1"/>
  <c r="B935" i="21"/>
  <c r="C935" i="21" s="1"/>
  <c r="D935" i="21" s="1"/>
  <c r="C934" i="21"/>
  <c r="D934" i="21" s="1"/>
  <c r="C933" i="21"/>
  <c r="D933" i="21" s="1"/>
  <c r="C932" i="21"/>
  <c r="D932" i="21" s="1"/>
  <c r="C931" i="21"/>
  <c r="D931" i="21" s="1"/>
  <c r="C930" i="21"/>
  <c r="D930" i="21" s="1"/>
  <c r="C929" i="21"/>
  <c r="D929" i="21" s="1"/>
  <c r="B928" i="21"/>
  <c r="C928" i="21" s="1"/>
  <c r="D928" i="21" s="1"/>
  <c r="C927" i="21"/>
  <c r="D927" i="21" s="1"/>
  <c r="C926" i="21"/>
  <c r="D926" i="21" s="1"/>
  <c r="C925" i="21"/>
  <c r="D925" i="21" s="1"/>
  <c r="C924" i="21"/>
  <c r="D924" i="21" s="1"/>
  <c r="C923" i="21"/>
  <c r="D923" i="21" s="1"/>
  <c r="C922" i="21"/>
  <c r="D922" i="21" s="1"/>
  <c r="C921" i="21"/>
  <c r="D921" i="21" s="1"/>
  <c r="B920" i="21"/>
  <c r="C920" i="21" s="1"/>
  <c r="D920" i="21" s="1"/>
  <c r="C919" i="21"/>
  <c r="D919" i="21" s="1"/>
  <c r="C918" i="21"/>
  <c r="D918" i="21" s="1"/>
  <c r="C917" i="21"/>
  <c r="D917" i="21" s="1"/>
  <c r="B916" i="21"/>
  <c r="C916" i="21" s="1"/>
  <c r="D916" i="21" s="1"/>
  <c r="C915" i="21"/>
  <c r="D915" i="21" s="1"/>
  <c r="C914" i="21"/>
  <c r="D914" i="21" s="1"/>
  <c r="B913" i="21"/>
  <c r="C913" i="21" s="1"/>
  <c r="D913" i="21" s="1"/>
  <c r="C912" i="21"/>
  <c r="C911" i="21"/>
  <c r="C910" i="21"/>
  <c r="C909" i="21"/>
  <c r="C908" i="21"/>
  <c r="C907" i="21"/>
  <c r="C906" i="21"/>
  <c r="C905" i="21"/>
  <c r="C904" i="21"/>
  <c r="C903" i="21"/>
  <c r="C892" i="21"/>
  <c r="D892" i="21" s="1"/>
  <c r="C891" i="21"/>
  <c r="D891" i="21" s="1"/>
  <c r="C890" i="21"/>
  <c r="D890" i="21" s="1"/>
  <c r="C889" i="21"/>
  <c r="D889" i="21" s="1"/>
  <c r="B888" i="21"/>
  <c r="C887" i="21"/>
  <c r="D887" i="21" s="1"/>
  <c r="C886" i="21"/>
  <c r="D886" i="21" s="1"/>
  <c r="C885" i="21"/>
  <c r="D885" i="21" s="1"/>
  <c r="C884" i="21"/>
  <c r="D884" i="21" s="1"/>
  <c r="B883" i="21"/>
  <c r="C883" i="21" s="1"/>
  <c r="D883" i="21" s="1"/>
  <c r="C882" i="21"/>
  <c r="D882" i="21" s="1"/>
  <c r="B881" i="21"/>
  <c r="C881" i="21" s="1"/>
  <c r="D881" i="21" s="1"/>
  <c r="C880" i="21"/>
  <c r="D880" i="21" s="1"/>
  <c r="B879" i="21"/>
  <c r="C879" i="21" s="1"/>
  <c r="D879" i="21" s="1"/>
  <c r="C878" i="21"/>
  <c r="D878" i="21" s="1"/>
  <c r="C877" i="21"/>
  <c r="D877" i="21" s="1"/>
  <c r="C876" i="21"/>
  <c r="D876" i="21" s="1"/>
  <c r="C875" i="21"/>
  <c r="D875" i="21" s="1"/>
  <c r="B874" i="21"/>
  <c r="C874" i="21" s="1"/>
  <c r="D874" i="21" s="1"/>
  <c r="C873" i="21"/>
  <c r="D873" i="21" s="1"/>
  <c r="B872" i="21"/>
  <c r="C872" i="21" s="1"/>
  <c r="D872" i="21" s="1"/>
  <c r="C871" i="21"/>
  <c r="D871" i="21" s="1"/>
  <c r="C870" i="21"/>
  <c r="D870" i="21" s="1"/>
  <c r="C869" i="21"/>
  <c r="D869" i="21" s="1"/>
  <c r="C868" i="21"/>
  <c r="D868" i="21" s="1"/>
  <c r="C867" i="21"/>
  <c r="D867" i="21" s="1"/>
  <c r="B866" i="21"/>
  <c r="C866" i="21" s="1"/>
  <c r="D866" i="21" s="1"/>
  <c r="C865" i="21"/>
  <c r="D865" i="21" s="1"/>
  <c r="C864" i="21"/>
  <c r="D864" i="21" s="1"/>
  <c r="B863" i="21"/>
  <c r="C863" i="21" s="1"/>
  <c r="D863" i="21" s="1"/>
  <c r="C862" i="21"/>
  <c r="D862" i="21" s="1"/>
  <c r="C861" i="21"/>
  <c r="D861" i="21" s="1"/>
  <c r="C860" i="21"/>
  <c r="D860" i="21" s="1"/>
  <c r="B859" i="21"/>
  <c r="C859" i="21" s="1"/>
  <c r="D859" i="21" s="1"/>
  <c r="C858" i="21"/>
  <c r="D858" i="21" s="1"/>
  <c r="C857" i="21"/>
  <c r="D857" i="21" s="1"/>
  <c r="D856" i="21"/>
  <c r="C856" i="21"/>
  <c r="C855" i="21"/>
  <c r="D855" i="21" s="1"/>
  <c r="C854" i="21"/>
  <c r="D854" i="21" s="1"/>
  <c r="C853" i="21"/>
  <c r="D853" i="21" s="1"/>
  <c r="C852" i="21"/>
  <c r="D852" i="21" s="1"/>
  <c r="C851" i="21"/>
  <c r="D851" i="21" s="1"/>
  <c r="C850" i="21"/>
  <c r="D850" i="21" s="1"/>
  <c r="B850" i="21"/>
  <c r="C849" i="21"/>
  <c r="D849" i="21" s="1"/>
  <c r="B849" i="21"/>
  <c r="C847" i="21"/>
  <c r="D847" i="21" s="1"/>
  <c r="B846" i="21"/>
  <c r="C846" i="21" s="1"/>
  <c r="D846" i="21" s="1"/>
  <c r="C845" i="21"/>
  <c r="D845" i="21" s="1"/>
  <c r="C844" i="21"/>
  <c r="D844" i="21" s="1"/>
  <c r="B843" i="21"/>
  <c r="C843" i="21" s="1"/>
  <c r="D843" i="21" s="1"/>
  <c r="C842" i="21"/>
  <c r="D842" i="21" s="1"/>
  <c r="C841" i="21"/>
  <c r="D841" i="21" s="1"/>
  <c r="B840" i="21"/>
  <c r="C840" i="21" s="1"/>
  <c r="D840" i="21" s="1"/>
  <c r="C839" i="21"/>
  <c r="D839" i="21" s="1"/>
  <c r="C838" i="21"/>
  <c r="D838" i="21" s="1"/>
  <c r="C837" i="21"/>
  <c r="D837" i="21" s="1"/>
  <c r="C836" i="21"/>
  <c r="D836" i="21" s="1"/>
  <c r="C835" i="21"/>
  <c r="D835" i="21" s="1"/>
  <c r="C834" i="21"/>
  <c r="D834" i="21" s="1"/>
  <c r="B833" i="21"/>
  <c r="C833" i="21" s="1"/>
  <c r="D833" i="21" s="1"/>
  <c r="C832" i="21"/>
  <c r="D832" i="21" s="1"/>
  <c r="C831" i="21"/>
  <c r="D831" i="21" s="1"/>
  <c r="C830" i="21"/>
  <c r="D830" i="21" s="1"/>
  <c r="B829" i="21"/>
  <c r="C829" i="21" s="1"/>
  <c r="D829" i="21" s="1"/>
  <c r="C828" i="21"/>
  <c r="D828" i="21" s="1"/>
  <c r="C827" i="21"/>
  <c r="D827" i="21" s="1"/>
  <c r="C826" i="21"/>
  <c r="D826" i="21" s="1"/>
  <c r="B825" i="21"/>
  <c r="C825" i="21" s="1"/>
  <c r="D825" i="21" s="1"/>
  <c r="C824" i="21"/>
  <c r="D824" i="21" s="1"/>
  <c r="C823" i="21"/>
  <c r="D823" i="21" s="1"/>
  <c r="C822" i="21"/>
  <c r="D822" i="21" s="1"/>
  <c r="B821" i="21"/>
  <c r="C821" i="21" s="1"/>
  <c r="D821" i="21" s="1"/>
  <c r="C820" i="21"/>
  <c r="D820" i="21" s="1"/>
  <c r="C819" i="21"/>
  <c r="D819" i="21" s="1"/>
  <c r="B818" i="21"/>
  <c r="C818" i="21" s="1"/>
  <c r="D818" i="21" s="1"/>
  <c r="C804" i="21"/>
  <c r="C803" i="21"/>
  <c r="C802" i="21"/>
  <c r="C801" i="21"/>
  <c r="C800" i="21"/>
  <c r="C799" i="21"/>
  <c r="C798" i="21"/>
  <c r="C797" i="21"/>
  <c r="C795" i="21"/>
  <c r="D795" i="21" s="1"/>
  <c r="C794" i="21"/>
  <c r="D794" i="21" s="1"/>
  <c r="C793" i="21"/>
  <c r="D793" i="21" s="1"/>
  <c r="B792" i="21"/>
  <c r="C792" i="21" s="1"/>
  <c r="D792" i="21" s="1"/>
  <c r="C791" i="21"/>
  <c r="D791" i="21" s="1"/>
  <c r="C790" i="21"/>
  <c r="D790" i="21" s="1"/>
  <c r="D789" i="21"/>
  <c r="C789" i="21"/>
  <c r="C788" i="21"/>
  <c r="D788" i="21" s="1"/>
  <c r="B787" i="21"/>
  <c r="C787" i="21" s="1"/>
  <c r="D787" i="21" s="1"/>
  <c r="C786" i="21"/>
  <c r="D786" i="21" s="1"/>
  <c r="B785" i="21"/>
  <c r="C785" i="21" s="1"/>
  <c r="D785" i="21" s="1"/>
  <c r="C784" i="21"/>
  <c r="D784" i="21" s="1"/>
  <c r="C783" i="21"/>
  <c r="D783" i="21" s="1"/>
  <c r="C782" i="21"/>
  <c r="D782" i="21" s="1"/>
  <c r="C781" i="21"/>
  <c r="D781" i="21" s="1"/>
  <c r="C780" i="21"/>
  <c r="D780" i="21" s="1"/>
  <c r="B779" i="21"/>
  <c r="C779" i="21" s="1"/>
  <c r="D779" i="21" s="1"/>
  <c r="C778" i="21"/>
  <c r="D778" i="21" s="1"/>
  <c r="C777" i="21"/>
  <c r="D777" i="21" s="1"/>
  <c r="B777" i="21"/>
  <c r="D776" i="21"/>
  <c r="C776" i="21"/>
  <c r="C775" i="21"/>
  <c r="D775" i="21" s="1"/>
  <c r="C774" i="21"/>
  <c r="D774" i="21" s="1"/>
  <c r="C773" i="21"/>
  <c r="D773" i="21" s="1"/>
  <c r="C772" i="21"/>
  <c r="D772" i="21" s="1"/>
  <c r="B771" i="21"/>
  <c r="C771" i="21" s="1"/>
  <c r="D771" i="21" s="1"/>
  <c r="C770" i="21"/>
  <c r="D770" i="21" s="1"/>
  <c r="C769" i="21"/>
  <c r="D769" i="21" s="1"/>
  <c r="B768" i="21"/>
  <c r="C768" i="21" s="1"/>
  <c r="D768" i="21" s="1"/>
  <c r="C767" i="21"/>
  <c r="D767" i="21" s="1"/>
  <c r="C766" i="21"/>
  <c r="D766" i="21" s="1"/>
  <c r="C765" i="21"/>
  <c r="D765" i="21" s="1"/>
  <c r="B764" i="21"/>
  <c r="C764" i="21" s="1"/>
  <c r="D764" i="21" s="1"/>
  <c r="C763" i="21"/>
  <c r="D763" i="21" s="1"/>
  <c r="C762" i="21"/>
  <c r="D762" i="21" s="1"/>
  <c r="C761" i="21"/>
  <c r="D761" i="21" s="1"/>
  <c r="C760" i="21"/>
  <c r="D760" i="21" s="1"/>
  <c r="C759" i="21"/>
  <c r="D759" i="21" s="1"/>
  <c r="C758" i="21"/>
  <c r="D758" i="21" s="1"/>
  <c r="C757" i="21"/>
  <c r="D757" i="21" s="1"/>
  <c r="C756" i="21"/>
  <c r="D756" i="21" s="1"/>
  <c r="C755" i="21"/>
  <c r="D755" i="21" s="1"/>
  <c r="C754" i="21"/>
  <c r="D754" i="21" s="1"/>
  <c r="B753" i="21"/>
  <c r="C753" i="21" s="1"/>
  <c r="D753" i="21" s="1"/>
  <c r="C752" i="21"/>
  <c r="D752" i="21" s="1"/>
  <c r="C751" i="21"/>
  <c r="D751" i="21" s="1"/>
  <c r="C750" i="21"/>
  <c r="D750" i="21" s="1"/>
  <c r="C749" i="21"/>
  <c r="D749" i="21" s="1"/>
  <c r="B748" i="21"/>
  <c r="C748" i="21" s="1"/>
  <c r="D748" i="21" s="1"/>
  <c r="C747" i="21"/>
  <c r="D747" i="21" s="1"/>
  <c r="C746" i="21"/>
  <c r="D746" i="21" s="1"/>
  <c r="C745" i="21"/>
  <c r="D745" i="21" s="1"/>
  <c r="C744" i="21"/>
  <c r="D744" i="21" s="1"/>
  <c r="C743" i="21"/>
  <c r="D743" i="21" s="1"/>
  <c r="C742" i="21"/>
  <c r="D742" i="21" s="1"/>
  <c r="C741" i="21"/>
  <c r="D741" i="21" s="1"/>
  <c r="C740" i="21"/>
  <c r="D740" i="21" s="1"/>
  <c r="C739" i="21"/>
  <c r="D739" i="21" s="1"/>
  <c r="B738" i="21"/>
  <c r="C738" i="21" s="1"/>
  <c r="D738" i="21" s="1"/>
  <c r="C737" i="21"/>
  <c r="D737" i="21" s="1"/>
  <c r="C736" i="21"/>
  <c r="D736" i="21" s="1"/>
  <c r="C735" i="21"/>
  <c r="D735" i="21" s="1"/>
  <c r="C734" i="21"/>
  <c r="D734" i="21" s="1"/>
  <c r="C733" i="21"/>
  <c r="D733" i="21" s="1"/>
  <c r="C732" i="21"/>
  <c r="D732" i="21" s="1"/>
  <c r="C731" i="21"/>
  <c r="D731" i="21" s="1"/>
  <c r="B730" i="21"/>
  <c r="C730" i="21" s="1"/>
  <c r="D730" i="21" s="1"/>
  <c r="D729" i="21"/>
  <c r="C729" i="21"/>
  <c r="C728" i="21"/>
  <c r="D728" i="21" s="1"/>
  <c r="C727" i="21"/>
  <c r="D727" i="21" s="1"/>
  <c r="B726" i="21"/>
  <c r="C725" i="21"/>
  <c r="D725" i="21" s="1"/>
  <c r="C724" i="21"/>
  <c r="D724" i="21" s="1"/>
  <c r="B723" i="21"/>
  <c r="C723" i="21" s="1"/>
  <c r="D723" i="21" s="1"/>
  <c r="C722" i="21"/>
  <c r="C721" i="21"/>
  <c r="C720" i="21"/>
  <c r="C719" i="21"/>
  <c r="C718" i="21"/>
  <c r="C717" i="21"/>
  <c r="C716" i="21"/>
  <c r="C715" i="21"/>
  <c r="C714" i="21"/>
  <c r="C713" i="21"/>
  <c r="C709" i="21"/>
  <c r="C708" i="21"/>
  <c r="C707" i="21"/>
  <c r="C706" i="21"/>
  <c r="C705" i="21"/>
  <c r="C704" i="21"/>
  <c r="C703" i="21"/>
  <c r="C702" i="21"/>
  <c r="C701" i="21"/>
  <c r="C699" i="21"/>
  <c r="D699" i="21" s="1"/>
  <c r="C698" i="21"/>
  <c r="D698" i="21" s="1"/>
  <c r="C697" i="21"/>
  <c r="D697" i="21" s="1"/>
  <c r="C696" i="21"/>
  <c r="D696" i="21" s="1"/>
  <c r="C695" i="21"/>
  <c r="D695" i="21" s="1"/>
  <c r="C694" i="21"/>
  <c r="D694" i="21" s="1"/>
  <c r="C693" i="21"/>
  <c r="D693" i="21" s="1"/>
  <c r="B692" i="21"/>
  <c r="C692" i="21" s="1"/>
  <c r="D692" i="21" s="1"/>
  <c r="C691" i="21"/>
  <c r="D691" i="21" s="1"/>
  <c r="B690" i="21"/>
  <c r="C690" i="21" s="1"/>
  <c r="D690" i="21" s="1"/>
  <c r="C689" i="21"/>
  <c r="D689" i="21" s="1"/>
  <c r="C688" i="21"/>
  <c r="D688" i="21" s="1"/>
  <c r="C687" i="21"/>
  <c r="D687" i="21" s="1"/>
  <c r="C686" i="21"/>
  <c r="D686" i="21" s="1"/>
  <c r="C685" i="21"/>
  <c r="D685" i="21" s="1"/>
  <c r="B684" i="21"/>
  <c r="C684" i="21" s="1"/>
  <c r="D684" i="21" s="1"/>
  <c r="C683" i="21"/>
  <c r="D683" i="21" s="1"/>
  <c r="B682" i="21"/>
  <c r="C682" i="21" s="1"/>
  <c r="D682" i="21" s="1"/>
  <c r="C681" i="21"/>
  <c r="D681" i="21" s="1"/>
  <c r="C680" i="21"/>
  <c r="D680" i="21" s="1"/>
  <c r="C679" i="21"/>
  <c r="D679" i="21" s="1"/>
  <c r="C678" i="21"/>
  <c r="D678" i="21" s="1"/>
  <c r="C677" i="21"/>
  <c r="D677" i="21" s="1"/>
  <c r="C676" i="21"/>
  <c r="D676" i="21" s="1"/>
  <c r="B675" i="21"/>
  <c r="C675" i="21" s="1"/>
  <c r="D675" i="21" s="1"/>
  <c r="C674" i="21"/>
  <c r="D674" i="21" s="1"/>
  <c r="C673" i="21"/>
  <c r="D673" i="21" s="1"/>
  <c r="B672" i="21"/>
  <c r="C672" i="21" s="1"/>
  <c r="D672" i="21" s="1"/>
  <c r="C671" i="21"/>
  <c r="D671" i="21" s="1"/>
  <c r="C670" i="21"/>
  <c r="D670" i="21" s="1"/>
  <c r="C669" i="21"/>
  <c r="D669" i="21" s="1"/>
  <c r="B668" i="21"/>
  <c r="C668" i="21" s="1"/>
  <c r="D668" i="21" s="1"/>
  <c r="C667" i="21"/>
  <c r="D667" i="21" s="1"/>
  <c r="C666" i="21"/>
  <c r="D666" i="21" s="1"/>
  <c r="C665" i="21"/>
  <c r="D665" i="21" s="1"/>
  <c r="C664" i="21"/>
  <c r="D664" i="21" s="1"/>
  <c r="C663" i="21"/>
  <c r="D663" i="21" s="1"/>
  <c r="C662" i="21"/>
  <c r="D662" i="21" s="1"/>
  <c r="C661" i="21"/>
  <c r="D661" i="21" s="1"/>
  <c r="C660" i="21"/>
  <c r="D660" i="21" s="1"/>
  <c r="C659" i="21"/>
  <c r="D659" i="21" s="1"/>
  <c r="B658" i="21"/>
  <c r="C658" i="21" s="1"/>
  <c r="D658" i="21" s="1"/>
  <c r="C657" i="21"/>
  <c r="D657" i="21" s="1"/>
  <c r="C656" i="21"/>
  <c r="D656" i="21" s="1"/>
  <c r="C655" i="21"/>
  <c r="D655" i="21" s="1"/>
  <c r="C654" i="21"/>
  <c r="D654" i="21" s="1"/>
  <c r="B653" i="21"/>
  <c r="C653" i="21" s="1"/>
  <c r="D653" i="21" s="1"/>
  <c r="C652" i="21"/>
  <c r="D652" i="21" s="1"/>
  <c r="C651" i="21"/>
  <c r="D651" i="21" s="1"/>
  <c r="C650" i="21"/>
  <c r="D650" i="21" s="1"/>
  <c r="C649" i="21"/>
  <c r="D649" i="21" s="1"/>
  <c r="C648" i="21"/>
  <c r="D648" i="21" s="1"/>
  <c r="C647" i="21"/>
  <c r="D647" i="21" s="1"/>
  <c r="D646" i="21"/>
  <c r="C646" i="21"/>
  <c r="C645" i="21"/>
  <c r="D645" i="21" s="1"/>
  <c r="C644" i="21"/>
  <c r="D644" i="21" s="1"/>
  <c r="B643" i="21"/>
  <c r="C643" i="21" s="1"/>
  <c r="D643" i="21" s="1"/>
  <c r="C642" i="21"/>
  <c r="D642" i="21" s="1"/>
  <c r="C641" i="21"/>
  <c r="D641" i="21" s="1"/>
  <c r="C640" i="21"/>
  <c r="D640" i="21" s="1"/>
  <c r="C639" i="21"/>
  <c r="D639" i="21" s="1"/>
  <c r="C638" i="21"/>
  <c r="D638" i="21" s="1"/>
  <c r="C637" i="21"/>
  <c r="D637" i="21" s="1"/>
  <c r="C636" i="21"/>
  <c r="D636" i="21" s="1"/>
  <c r="B635" i="21"/>
  <c r="C635" i="21" s="1"/>
  <c r="D635" i="21" s="1"/>
  <c r="C634" i="21"/>
  <c r="D634" i="21" s="1"/>
  <c r="C633" i="21"/>
  <c r="D633" i="21" s="1"/>
  <c r="C632" i="21"/>
  <c r="D632" i="21" s="1"/>
  <c r="B631" i="21"/>
  <c r="C631" i="21" s="1"/>
  <c r="D631" i="21" s="1"/>
  <c r="C630" i="21"/>
  <c r="D630" i="21" s="1"/>
  <c r="C629" i="21"/>
  <c r="D629" i="21" s="1"/>
  <c r="B628" i="21"/>
  <c r="C628" i="21" s="1"/>
  <c r="D628" i="21" s="1"/>
  <c r="C624" i="21"/>
  <c r="C623" i="21"/>
  <c r="C622" i="21"/>
  <c r="C621" i="21"/>
  <c r="C620" i="21"/>
  <c r="C619" i="21"/>
  <c r="C618" i="21"/>
  <c r="C617" i="21"/>
  <c r="C615" i="21"/>
  <c r="C614" i="21"/>
  <c r="C613" i="21"/>
  <c r="D613" i="21" s="1"/>
  <c r="B612" i="21"/>
  <c r="C612" i="21" s="1"/>
  <c r="D612" i="21" s="1"/>
  <c r="C611" i="21"/>
  <c r="D611" i="21" s="1"/>
  <c r="C610" i="21"/>
  <c r="D610" i="21" s="1"/>
  <c r="C609" i="21"/>
  <c r="D609" i="21" s="1"/>
  <c r="C608" i="21"/>
  <c r="D608" i="21" s="1"/>
  <c r="B607" i="21"/>
  <c r="C607" i="21" s="1"/>
  <c r="D607" i="21" s="1"/>
  <c r="C606" i="21"/>
  <c r="D606" i="21" s="1"/>
  <c r="C605" i="21"/>
  <c r="D605" i="21" s="1"/>
  <c r="C604" i="21"/>
  <c r="D604" i="21" s="1"/>
  <c r="C603" i="21"/>
  <c r="D603" i="21" s="1"/>
  <c r="C602" i="21"/>
  <c r="D602" i="21" s="1"/>
  <c r="C601" i="21"/>
  <c r="D601" i="21" s="1"/>
  <c r="C600" i="21"/>
  <c r="D600" i="21" s="1"/>
  <c r="B599" i="21"/>
  <c r="C599" i="21" s="1"/>
  <c r="D599" i="21" s="1"/>
  <c r="C598" i="21"/>
  <c r="D598" i="21" s="1"/>
  <c r="B597" i="21"/>
  <c r="C597" i="21" s="1"/>
  <c r="D597" i="21" s="1"/>
  <c r="C596" i="21"/>
  <c r="D596" i="21" s="1"/>
  <c r="C595" i="21"/>
  <c r="D595" i="21" s="1"/>
  <c r="C594" i="21"/>
  <c r="D594" i="21" s="1"/>
  <c r="C593" i="21"/>
  <c r="D593" i="21" s="1"/>
  <c r="C592" i="21"/>
  <c r="D592" i="21" s="1"/>
  <c r="B591" i="21"/>
  <c r="C591" i="21" s="1"/>
  <c r="D591" i="21" s="1"/>
  <c r="D590" i="21"/>
  <c r="C590" i="21"/>
  <c r="C589" i="21"/>
  <c r="D589" i="21" s="1"/>
  <c r="B588" i="21"/>
  <c r="C588" i="21" s="1"/>
  <c r="D588" i="21" s="1"/>
  <c r="C587" i="21"/>
  <c r="D587" i="21" s="1"/>
  <c r="C586" i="21"/>
  <c r="D586" i="21" s="1"/>
  <c r="C585" i="21"/>
  <c r="D585" i="21" s="1"/>
  <c r="B584" i="21"/>
  <c r="C584" i="21" s="1"/>
  <c r="D584" i="21" s="1"/>
  <c r="C583" i="21"/>
  <c r="D583" i="21" s="1"/>
  <c r="C582" i="21"/>
  <c r="D582" i="21" s="1"/>
  <c r="C581" i="21"/>
  <c r="D581" i="21" s="1"/>
  <c r="C580" i="21"/>
  <c r="D580" i="21" s="1"/>
  <c r="C579" i="21"/>
  <c r="D579" i="21" s="1"/>
  <c r="C578" i="21"/>
  <c r="D578" i="21" s="1"/>
  <c r="C577" i="21"/>
  <c r="D577" i="21" s="1"/>
  <c r="C576" i="21"/>
  <c r="D576" i="21" s="1"/>
  <c r="C575" i="21"/>
  <c r="D575" i="21" s="1"/>
  <c r="B574" i="21"/>
  <c r="C574" i="21" s="1"/>
  <c r="D574" i="21" s="1"/>
  <c r="C573" i="21"/>
  <c r="D573" i="21" s="1"/>
  <c r="C572" i="21"/>
  <c r="D572" i="21" s="1"/>
  <c r="C571" i="21"/>
  <c r="D571" i="21" s="1"/>
  <c r="C570" i="21"/>
  <c r="D570" i="21" s="1"/>
  <c r="B569" i="21"/>
  <c r="C569" i="21" s="1"/>
  <c r="D569" i="21" s="1"/>
  <c r="C568" i="21"/>
  <c r="D568" i="21" s="1"/>
  <c r="C567" i="21"/>
  <c r="D567" i="21" s="1"/>
  <c r="C566" i="21"/>
  <c r="D566" i="21" s="1"/>
  <c r="C565" i="21"/>
  <c r="D565" i="21" s="1"/>
  <c r="C564" i="21"/>
  <c r="D564" i="21" s="1"/>
  <c r="C563" i="21"/>
  <c r="D563" i="21" s="1"/>
  <c r="C562" i="21"/>
  <c r="D562" i="21" s="1"/>
  <c r="C561" i="21"/>
  <c r="D561" i="21" s="1"/>
  <c r="C560" i="21"/>
  <c r="D560" i="21" s="1"/>
  <c r="B559" i="21"/>
  <c r="C559" i="21" s="1"/>
  <c r="D559" i="21" s="1"/>
  <c r="C558" i="21"/>
  <c r="D558" i="21" s="1"/>
  <c r="C557" i="21"/>
  <c r="D557" i="21" s="1"/>
  <c r="C556" i="21"/>
  <c r="D556" i="21" s="1"/>
  <c r="C555" i="21"/>
  <c r="D555" i="21" s="1"/>
  <c r="C554" i="21"/>
  <c r="D554" i="21" s="1"/>
  <c r="C553" i="21"/>
  <c r="D553" i="21" s="1"/>
  <c r="C552" i="21"/>
  <c r="D552" i="21" s="1"/>
  <c r="B551" i="21"/>
  <c r="C551" i="21" s="1"/>
  <c r="D551" i="21" s="1"/>
  <c r="C550" i="21"/>
  <c r="D550" i="21" s="1"/>
  <c r="C549" i="21"/>
  <c r="D549" i="21" s="1"/>
  <c r="C548" i="21"/>
  <c r="D548" i="21" s="1"/>
  <c r="C547" i="21"/>
  <c r="D547" i="21" s="1"/>
  <c r="C546" i="21"/>
  <c r="D546" i="21" s="1"/>
  <c r="C545" i="21"/>
  <c r="D545" i="21" s="1"/>
  <c r="B544" i="21"/>
  <c r="C544" i="21" s="1"/>
  <c r="D544" i="21" s="1"/>
  <c r="C543" i="21"/>
  <c r="C542" i="21"/>
  <c r="C541" i="21"/>
  <c r="C540" i="21"/>
  <c r="C539" i="21"/>
  <c r="C538" i="21"/>
  <c r="C537" i="21"/>
  <c r="C536" i="21"/>
  <c r="C535" i="21"/>
  <c r="C534" i="21"/>
  <c r="C532" i="21"/>
  <c r="C530" i="21"/>
  <c r="C529" i="21"/>
  <c r="C528" i="21"/>
  <c r="C527" i="21"/>
  <c r="C526" i="21"/>
  <c r="C525" i="21"/>
  <c r="C524" i="21"/>
  <c r="C523" i="21"/>
  <c r="C521" i="21"/>
  <c r="D521" i="21" s="1"/>
  <c r="C520" i="21"/>
  <c r="D520" i="21" s="1"/>
  <c r="C519" i="21"/>
  <c r="D519" i="21" s="1"/>
  <c r="B518" i="21"/>
  <c r="C517" i="21"/>
  <c r="D517" i="21" s="1"/>
  <c r="C516" i="21"/>
  <c r="D516" i="21" s="1"/>
  <c r="C515" i="21"/>
  <c r="D515" i="21" s="1"/>
  <c r="C514" i="21"/>
  <c r="D514" i="21" s="1"/>
  <c r="B513" i="21"/>
  <c r="C513" i="21" s="1"/>
  <c r="D513" i="21" s="1"/>
  <c r="C512" i="21"/>
  <c r="D512" i="21" s="1"/>
  <c r="B511" i="21"/>
  <c r="C511" i="21" s="1"/>
  <c r="D511" i="21" s="1"/>
  <c r="C510" i="21"/>
  <c r="D510" i="21" s="1"/>
  <c r="C509" i="21"/>
  <c r="D509" i="21" s="1"/>
  <c r="C508" i="21"/>
  <c r="D508" i="21" s="1"/>
  <c r="C507" i="21"/>
  <c r="D507" i="21" s="1"/>
  <c r="C506" i="21"/>
  <c r="D506" i="21" s="1"/>
  <c r="B505" i="21"/>
  <c r="C505" i="21" s="1"/>
  <c r="D505" i="21" s="1"/>
  <c r="B504" i="21"/>
  <c r="C504" i="21" s="1"/>
  <c r="D504" i="21" s="1"/>
  <c r="B503" i="21"/>
  <c r="C503" i="21" s="1"/>
  <c r="D503" i="21" s="1"/>
  <c r="C502" i="21"/>
  <c r="D502" i="21" s="1"/>
  <c r="C501" i="21"/>
  <c r="D501" i="21" s="1"/>
  <c r="C500" i="21"/>
  <c r="D500" i="21" s="1"/>
  <c r="B499" i="21"/>
  <c r="C499" i="21" s="1"/>
  <c r="D499" i="21" s="1"/>
  <c r="B498" i="21"/>
  <c r="C498" i="21" s="1"/>
  <c r="D498" i="21" s="1"/>
  <c r="B497" i="21"/>
  <c r="C497" i="21" s="1"/>
  <c r="D497" i="21" s="1"/>
  <c r="C496" i="21"/>
  <c r="D496" i="21" s="1"/>
  <c r="B496" i="21"/>
  <c r="C495" i="21"/>
  <c r="D495" i="21" s="1"/>
  <c r="B494" i="21"/>
  <c r="C494" i="21" s="1"/>
  <c r="D494" i="21" s="1"/>
  <c r="B493" i="21"/>
  <c r="C493" i="21" s="1"/>
  <c r="D493" i="21" s="1"/>
  <c r="B492" i="21"/>
  <c r="C492" i="21" s="1"/>
  <c r="D492" i="21" s="1"/>
  <c r="C491" i="21"/>
  <c r="D491" i="21" s="1"/>
  <c r="B491" i="21"/>
  <c r="C489" i="21"/>
  <c r="D489" i="21" s="1"/>
  <c r="C488" i="21"/>
  <c r="D488" i="21" s="1"/>
  <c r="C487" i="21"/>
  <c r="D487" i="21" s="1"/>
  <c r="C486" i="21"/>
  <c r="D486" i="21" s="1"/>
  <c r="C485" i="21"/>
  <c r="D485" i="21" s="1"/>
  <c r="B484" i="21"/>
  <c r="B479" i="21" s="1"/>
  <c r="C479" i="21" s="1"/>
  <c r="D479" i="21" s="1"/>
  <c r="C483" i="21"/>
  <c r="D483" i="21" s="1"/>
  <c r="C482" i="21"/>
  <c r="D482" i="21" s="1"/>
  <c r="C481" i="21"/>
  <c r="D481" i="21" s="1"/>
  <c r="C480" i="21"/>
  <c r="D480" i="21" s="1"/>
  <c r="C478" i="21"/>
  <c r="D478" i="21" s="1"/>
  <c r="C477" i="21"/>
  <c r="D477" i="21" s="1"/>
  <c r="C476" i="21"/>
  <c r="D476" i="21" s="1"/>
  <c r="B475" i="21"/>
  <c r="C475" i="21" s="1"/>
  <c r="D475" i="21" s="1"/>
  <c r="B474" i="21"/>
  <c r="C474" i="21" s="1"/>
  <c r="D474" i="21" s="1"/>
  <c r="C473" i="21"/>
  <c r="D473" i="21" s="1"/>
  <c r="C472" i="21"/>
  <c r="D472" i="21" s="1"/>
  <c r="C471" i="21"/>
  <c r="D471" i="21" s="1"/>
  <c r="C470" i="21"/>
  <c r="D470" i="21" s="1"/>
  <c r="C469" i="21"/>
  <c r="D469" i="21" s="1"/>
  <c r="C468" i="21"/>
  <c r="D468" i="21" s="1"/>
  <c r="C467" i="21"/>
  <c r="D467" i="21" s="1"/>
  <c r="C466" i="21"/>
  <c r="D466" i="21" s="1"/>
  <c r="D465" i="21"/>
  <c r="C465" i="21"/>
  <c r="B464" i="21"/>
  <c r="C464" i="21" s="1"/>
  <c r="D464" i="21" s="1"/>
  <c r="C463" i="21"/>
  <c r="D463" i="21" s="1"/>
  <c r="C462" i="21"/>
  <c r="D462" i="21" s="1"/>
  <c r="C461" i="21"/>
  <c r="D461" i="21" s="1"/>
  <c r="C460" i="21"/>
  <c r="D460" i="21" s="1"/>
  <c r="C459" i="21"/>
  <c r="D459" i="21" s="1"/>
  <c r="C458" i="21"/>
  <c r="D458" i="21" s="1"/>
  <c r="C457" i="21"/>
  <c r="D457" i="21" s="1"/>
  <c r="B457" i="21"/>
  <c r="B456" i="21"/>
  <c r="C456" i="21" s="1"/>
  <c r="D456" i="21" s="1"/>
  <c r="C455" i="21"/>
  <c r="D455" i="21" s="1"/>
  <c r="C454" i="21"/>
  <c r="D454" i="21" s="1"/>
  <c r="B454" i="21"/>
  <c r="B453" i="21"/>
  <c r="C451" i="21"/>
  <c r="D451" i="21" s="1"/>
  <c r="B451" i="21"/>
  <c r="B450" i="21"/>
  <c r="C448" i="21"/>
  <c r="C447" i="21"/>
  <c r="C446" i="21"/>
  <c r="C445" i="21"/>
  <c r="C444" i="21"/>
  <c r="C443" i="21"/>
  <c r="C442" i="21"/>
  <c r="C441" i="21"/>
  <c r="C440" i="21"/>
  <c r="C439" i="21"/>
  <c r="C437" i="21"/>
  <c r="D435" i="21"/>
  <c r="C435" i="21"/>
  <c r="C434" i="21"/>
  <c r="D434" i="21" s="1"/>
  <c r="C433" i="21"/>
  <c r="D433" i="21" s="1"/>
  <c r="C432" i="21"/>
  <c r="D432" i="21" s="1"/>
  <c r="C431" i="21"/>
  <c r="D431" i="21" s="1"/>
  <c r="C430" i="21"/>
  <c r="D430" i="21" s="1"/>
  <c r="C429" i="21"/>
  <c r="D429" i="21" s="1"/>
  <c r="D428" i="21"/>
  <c r="C428" i="21"/>
  <c r="C426" i="21"/>
  <c r="D426" i="21" s="1"/>
  <c r="C425" i="21"/>
  <c r="D425" i="21" s="1"/>
  <c r="C424" i="21"/>
  <c r="D424" i="21" s="1"/>
  <c r="B423" i="21"/>
  <c r="C423" i="21" s="1"/>
  <c r="D423" i="21" s="1"/>
  <c r="C422" i="21"/>
  <c r="D422" i="21" s="1"/>
  <c r="D421" i="21"/>
  <c r="C421" i="21"/>
  <c r="D420" i="21"/>
  <c r="C420" i="21"/>
  <c r="B419" i="21"/>
  <c r="C419" i="21" s="1"/>
  <c r="D419" i="21" s="1"/>
  <c r="C418" i="21"/>
  <c r="D418" i="21" s="1"/>
  <c r="B417" i="21"/>
  <c r="C417" i="21" s="1"/>
  <c r="D417" i="21" s="1"/>
  <c r="C416" i="21"/>
  <c r="D416" i="21" s="1"/>
  <c r="C415" i="21"/>
  <c r="D415" i="21" s="1"/>
  <c r="C414" i="21"/>
  <c r="D414" i="21" s="1"/>
  <c r="C413" i="21"/>
  <c r="D413" i="21" s="1"/>
  <c r="C412" i="21"/>
  <c r="D412" i="21" s="1"/>
  <c r="B411" i="21"/>
  <c r="C411" i="21" s="1"/>
  <c r="D411" i="21" s="1"/>
  <c r="C410" i="21"/>
  <c r="D410" i="21" s="1"/>
  <c r="B409" i="21"/>
  <c r="C409" i="21" s="1"/>
  <c r="D409" i="21" s="1"/>
  <c r="C408" i="21"/>
  <c r="D408" i="21" s="1"/>
  <c r="C407" i="21"/>
  <c r="D407" i="21" s="1"/>
  <c r="C406" i="21"/>
  <c r="D406" i="21" s="1"/>
  <c r="C405" i="21"/>
  <c r="D405" i="21" s="1"/>
  <c r="C404" i="21"/>
  <c r="D404" i="21" s="1"/>
  <c r="C403" i="21"/>
  <c r="D403" i="21" s="1"/>
  <c r="B402" i="21"/>
  <c r="C402" i="21" s="1"/>
  <c r="D402" i="21" s="1"/>
  <c r="C401" i="21"/>
  <c r="D401" i="21" s="1"/>
  <c r="C400" i="21"/>
  <c r="D400" i="21" s="1"/>
  <c r="B399" i="21"/>
  <c r="C399" i="21" s="1"/>
  <c r="D399" i="21" s="1"/>
  <c r="C398" i="21"/>
  <c r="D398" i="21" s="1"/>
  <c r="C397" i="21"/>
  <c r="D397" i="21" s="1"/>
  <c r="C396" i="21"/>
  <c r="D396" i="21" s="1"/>
  <c r="B395" i="21"/>
  <c r="C395" i="21" s="1"/>
  <c r="D395" i="21" s="1"/>
  <c r="C394" i="21"/>
  <c r="D394" i="21" s="1"/>
  <c r="C393" i="21"/>
  <c r="D393" i="21" s="1"/>
  <c r="C392" i="21"/>
  <c r="D392" i="21" s="1"/>
  <c r="C391" i="21"/>
  <c r="D391" i="21" s="1"/>
  <c r="C390" i="21"/>
  <c r="D390" i="21" s="1"/>
  <c r="C389" i="21"/>
  <c r="D389" i="21" s="1"/>
  <c r="C388" i="21"/>
  <c r="D388" i="21" s="1"/>
  <c r="D387" i="21"/>
  <c r="C387" i="21"/>
  <c r="C386" i="21"/>
  <c r="D386" i="21" s="1"/>
  <c r="B385" i="21"/>
  <c r="C385" i="21" s="1"/>
  <c r="D385" i="21" s="1"/>
  <c r="C384" i="21"/>
  <c r="D384" i="21" s="1"/>
  <c r="B383" i="21"/>
  <c r="C383" i="21" s="1"/>
  <c r="D383" i="21" s="1"/>
  <c r="C382" i="21"/>
  <c r="D382" i="21" s="1"/>
  <c r="C381" i="21"/>
  <c r="D381" i="21" s="1"/>
  <c r="B380" i="21"/>
  <c r="C380" i="21" s="1"/>
  <c r="D380" i="21" s="1"/>
  <c r="C379" i="21"/>
  <c r="D379" i="21" s="1"/>
  <c r="C378" i="21"/>
  <c r="D378" i="21" s="1"/>
  <c r="C377" i="21"/>
  <c r="D377" i="21" s="1"/>
  <c r="C376" i="21"/>
  <c r="D376" i="21" s="1"/>
  <c r="C375" i="21"/>
  <c r="D375" i="21" s="1"/>
  <c r="C374" i="21"/>
  <c r="D374" i="21" s="1"/>
  <c r="C373" i="21"/>
  <c r="D373" i="21" s="1"/>
  <c r="C372" i="21"/>
  <c r="D372" i="21" s="1"/>
  <c r="C371" i="21"/>
  <c r="D371" i="21" s="1"/>
  <c r="B370" i="21"/>
  <c r="C370" i="21" s="1"/>
  <c r="D370" i="21" s="1"/>
  <c r="C369" i="21"/>
  <c r="D369" i="21" s="1"/>
  <c r="C368" i="21"/>
  <c r="D368" i="21" s="1"/>
  <c r="C367" i="21"/>
  <c r="D367" i="21" s="1"/>
  <c r="C366" i="21"/>
  <c r="D366" i="21" s="1"/>
  <c r="C365" i="21"/>
  <c r="D365" i="21" s="1"/>
  <c r="C364" i="21"/>
  <c r="D364" i="21" s="1"/>
  <c r="C363" i="21"/>
  <c r="D363" i="21" s="1"/>
  <c r="B362" i="21"/>
  <c r="C362" i="21" s="1"/>
  <c r="D362" i="21" s="1"/>
  <c r="C361" i="21"/>
  <c r="D361" i="21" s="1"/>
  <c r="C360" i="21"/>
  <c r="D360" i="21" s="1"/>
  <c r="C359" i="21"/>
  <c r="D359" i="21" s="1"/>
  <c r="B358" i="21"/>
  <c r="C358" i="21" s="1"/>
  <c r="D358" i="21" s="1"/>
  <c r="C357" i="21"/>
  <c r="D357" i="21" s="1"/>
  <c r="C356" i="21"/>
  <c r="D356" i="21" s="1"/>
  <c r="B355" i="21"/>
  <c r="C355" i="21" s="1"/>
  <c r="D355" i="21" s="1"/>
  <c r="B349" i="21"/>
  <c r="C349" i="21" s="1"/>
  <c r="D349" i="21" s="1"/>
  <c r="C348" i="21"/>
  <c r="D348" i="21" s="1"/>
  <c r="C347" i="21"/>
  <c r="D347" i="21" s="1"/>
  <c r="C346" i="21"/>
  <c r="D346" i="21" s="1"/>
  <c r="C345" i="21"/>
  <c r="D345" i="21" s="1"/>
  <c r="C344" i="21"/>
  <c r="D344" i="21" s="1"/>
  <c r="C343" i="21"/>
  <c r="D343" i="21" s="1"/>
  <c r="C341" i="21"/>
  <c r="D341" i="21" s="1"/>
  <c r="C340" i="21"/>
  <c r="D340" i="21" s="1"/>
  <c r="C339" i="21"/>
  <c r="D339" i="21" s="1"/>
  <c r="C338" i="21"/>
  <c r="D338" i="21" s="1"/>
  <c r="C337" i="21"/>
  <c r="D337" i="21" s="1"/>
  <c r="C336" i="21"/>
  <c r="D336" i="21" s="1"/>
  <c r="C335" i="21"/>
  <c r="D335" i="21" s="1"/>
  <c r="C334" i="21"/>
  <c r="D334" i="21" s="1"/>
  <c r="B333" i="21"/>
  <c r="C332" i="21"/>
  <c r="D332" i="21" s="1"/>
  <c r="B331" i="21"/>
  <c r="C331" i="21" s="1"/>
  <c r="D331" i="21" s="1"/>
  <c r="C330" i="21"/>
  <c r="D330" i="21" s="1"/>
  <c r="C329" i="21"/>
  <c r="D329" i="21" s="1"/>
  <c r="C328" i="21"/>
  <c r="D328" i="21" s="1"/>
  <c r="C327" i="21"/>
  <c r="D327" i="21" s="1"/>
  <c r="C326" i="21"/>
  <c r="D326" i="21" s="1"/>
  <c r="C325" i="21"/>
  <c r="D325" i="21" s="1"/>
  <c r="B324" i="21"/>
  <c r="C324" i="21" s="1"/>
  <c r="D324" i="21" s="1"/>
  <c r="C323" i="21"/>
  <c r="D323" i="21" s="1"/>
  <c r="B322" i="21"/>
  <c r="C322" i="21" s="1"/>
  <c r="D322" i="21" s="1"/>
  <c r="C321" i="21"/>
  <c r="D321" i="21" s="1"/>
  <c r="C320" i="21"/>
  <c r="D320" i="21" s="1"/>
  <c r="C319" i="21"/>
  <c r="D319" i="21" s="1"/>
  <c r="C318" i="21"/>
  <c r="D318" i="21" s="1"/>
  <c r="C317" i="21"/>
  <c r="D317" i="21" s="1"/>
  <c r="B316" i="21"/>
  <c r="C316" i="21" s="1"/>
  <c r="D316" i="21" s="1"/>
  <c r="C315" i="21"/>
  <c r="D315" i="21" s="1"/>
  <c r="C314" i="21"/>
  <c r="D314" i="21" s="1"/>
  <c r="C313" i="21"/>
  <c r="D313" i="21" s="1"/>
  <c r="B313" i="21"/>
  <c r="C312" i="21"/>
  <c r="D312" i="21" s="1"/>
  <c r="C311" i="21"/>
  <c r="D311" i="21" s="1"/>
  <c r="C310" i="21"/>
  <c r="D310" i="21" s="1"/>
  <c r="B309" i="21"/>
  <c r="C309" i="21" s="1"/>
  <c r="D309" i="21" s="1"/>
  <c r="C308" i="21"/>
  <c r="D308" i="21" s="1"/>
  <c r="C307" i="21"/>
  <c r="D307" i="21" s="1"/>
  <c r="C306" i="21"/>
  <c r="D306" i="21" s="1"/>
  <c r="C305" i="21"/>
  <c r="D305" i="21" s="1"/>
  <c r="D304" i="21"/>
  <c r="C304" i="21"/>
  <c r="C303" i="21"/>
  <c r="D303" i="21" s="1"/>
  <c r="C302" i="21"/>
  <c r="D302" i="21" s="1"/>
  <c r="C301" i="21"/>
  <c r="D301" i="21" s="1"/>
  <c r="C300" i="21"/>
  <c r="D300" i="21" s="1"/>
  <c r="C299" i="21"/>
  <c r="D299" i="21" s="1"/>
  <c r="B298" i="21"/>
  <c r="C298" i="21" s="1"/>
  <c r="D298" i="21" s="1"/>
  <c r="C297" i="21"/>
  <c r="D297" i="21" s="1"/>
  <c r="C296" i="21"/>
  <c r="D296" i="21" s="1"/>
  <c r="B295" i="21"/>
  <c r="C295" i="21" s="1"/>
  <c r="D295" i="21" s="1"/>
  <c r="C294" i="21"/>
  <c r="D294" i="21" s="1"/>
  <c r="C293" i="21"/>
  <c r="D293" i="21" s="1"/>
  <c r="B292" i="21"/>
  <c r="C292" i="21" s="1"/>
  <c r="D292" i="21" s="1"/>
  <c r="C291" i="21"/>
  <c r="D291" i="21" s="1"/>
  <c r="C290" i="21"/>
  <c r="D290" i="21" s="1"/>
  <c r="C289" i="21"/>
  <c r="D289" i="21" s="1"/>
  <c r="C288" i="21"/>
  <c r="D288" i="21" s="1"/>
  <c r="C287" i="21"/>
  <c r="D287" i="21" s="1"/>
  <c r="C286" i="21"/>
  <c r="D286" i="21" s="1"/>
  <c r="C285" i="21"/>
  <c r="D285" i="21" s="1"/>
  <c r="C284" i="21"/>
  <c r="D284" i="21" s="1"/>
  <c r="C283" i="21"/>
  <c r="D283" i="21" s="1"/>
  <c r="B282" i="21"/>
  <c r="C282" i="21" s="1"/>
  <c r="D282" i="21" s="1"/>
  <c r="C281" i="21"/>
  <c r="D281" i="21" s="1"/>
  <c r="C280" i="21"/>
  <c r="D280" i="21" s="1"/>
  <c r="C279" i="21"/>
  <c r="D279" i="21" s="1"/>
  <c r="C278" i="21"/>
  <c r="D278" i="21" s="1"/>
  <c r="C277" i="21"/>
  <c r="D277" i="21" s="1"/>
  <c r="C276" i="21"/>
  <c r="D276" i="21" s="1"/>
  <c r="C275" i="21"/>
  <c r="D275" i="21" s="1"/>
  <c r="B274" i="21"/>
  <c r="C274" i="21" s="1"/>
  <c r="D274" i="21" s="1"/>
  <c r="C273" i="21"/>
  <c r="D273" i="21" s="1"/>
  <c r="C272" i="21"/>
  <c r="D272" i="21" s="1"/>
  <c r="C271" i="21"/>
  <c r="D271" i="21" s="1"/>
  <c r="B270" i="21"/>
  <c r="C270" i="21" s="1"/>
  <c r="D270" i="21" s="1"/>
  <c r="C269" i="21"/>
  <c r="D269" i="21" s="1"/>
  <c r="C268" i="21"/>
  <c r="D268" i="21" s="1"/>
  <c r="B267" i="21"/>
  <c r="C267" i="21" s="1"/>
  <c r="D267" i="21" s="1"/>
  <c r="C266" i="21"/>
  <c r="C265" i="21"/>
  <c r="C264" i="21"/>
  <c r="C263" i="21"/>
  <c r="C262" i="21"/>
  <c r="C261" i="21"/>
  <c r="C260" i="21"/>
  <c r="C259" i="21"/>
  <c r="C258" i="21"/>
  <c r="C257" i="21"/>
  <c r="B253" i="21"/>
  <c r="C249" i="21"/>
  <c r="C246" i="21"/>
  <c r="D246" i="21" s="1"/>
  <c r="C245" i="21"/>
  <c r="D245" i="21" s="1"/>
  <c r="C244" i="21"/>
  <c r="D244" i="21" s="1"/>
  <c r="B243" i="21"/>
  <c r="C242" i="21"/>
  <c r="D242" i="21" s="1"/>
  <c r="C241" i="21"/>
  <c r="D241" i="21" s="1"/>
  <c r="C240" i="21"/>
  <c r="D240" i="21" s="1"/>
  <c r="C239" i="21"/>
  <c r="D239" i="21" s="1"/>
  <c r="B238" i="21"/>
  <c r="C238" i="21" s="1"/>
  <c r="D238" i="21" s="1"/>
  <c r="C237" i="21"/>
  <c r="D237" i="21" s="1"/>
  <c r="B236" i="21"/>
  <c r="C236" i="21" s="1"/>
  <c r="D236" i="21" s="1"/>
  <c r="C235" i="21"/>
  <c r="D235" i="21" s="1"/>
  <c r="C234" i="21"/>
  <c r="D234" i="21" s="1"/>
  <c r="C233" i="21"/>
  <c r="D233" i="21" s="1"/>
  <c r="C232" i="21"/>
  <c r="D232" i="21" s="1"/>
  <c r="C231" i="21"/>
  <c r="D231" i="21" s="1"/>
  <c r="C230" i="21"/>
  <c r="D230" i="21" s="1"/>
  <c r="B229" i="21"/>
  <c r="C229" i="21" s="1"/>
  <c r="D229" i="21" s="1"/>
  <c r="C228" i="21"/>
  <c r="D228" i="21" s="1"/>
  <c r="B227" i="21"/>
  <c r="C227" i="21" s="1"/>
  <c r="D227" i="21" s="1"/>
  <c r="C226" i="21"/>
  <c r="D226" i="21" s="1"/>
  <c r="C225" i="21"/>
  <c r="D225" i="21" s="1"/>
  <c r="C224" i="21"/>
  <c r="D224" i="21" s="1"/>
  <c r="C223" i="21"/>
  <c r="D223" i="21" s="1"/>
  <c r="C222" i="21"/>
  <c r="D222" i="21" s="1"/>
  <c r="B221" i="21"/>
  <c r="C221" i="21" s="1"/>
  <c r="D221" i="21" s="1"/>
  <c r="C220" i="21"/>
  <c r="D220" i="21" s="1"/>
  <c r="C219" i="21"/>
  <c r="D219" i="21" s="1"/>
  <c r="B218" i="21"/>
  <c r="C218" i="21" s="1"/>
  <c r="D218" i="21" s="1"/>
  <c r="C217" i="21"/>
  <c r="D217" i="21" s="1"/>
  <c r="C216" i="21"/>
  <c r="D216" i="21" s="1"/>
  <c r="C215" i="21"/>
  <c r="D215" i="21" s="1"/>
  <c r="B214" i="21"/>
  <c r="C214" i="21" s="1"/>
  <c r="D214" i="21" s="1"/>
  <c r="C213" i="21"/>
  <c r="D213" i="21" s="1"/>
  <c r="C212" i="21"/>
  <c r="D212" i="21" s="1"/>
  <c r="C211" i="21"/>
  <c r="D211" i="21" s="1"/>
  <c r="C210" i="21"/>
  <c r="D210" i="21" s="1"/>
  <c r="C209" i="21"/>
  <c r="D209" i="21" s="1"/>
  <c r="C208" i="21"/>
  <c r="D208" i="21" s="1"/>
  <c r="C207" i="21"/>
  <c r="D207" i="21" s="1"/>
  <c r="C206" i="21"/>
  <c r="D206" i="21" s="1"/>
  <c r="C205" i="21"/>
  <c r="D205" i="21" s="1"/>
  <c r="C204" i="21"/>
  <c r="D204" i="21" s="1"/>
  <c r="B203" i="21"/>
  <c r="C203" i="21" s="1"/>
  <c r="D203" i="21" s="1"/>
  <c r="C202" i="21"/>
  <c r="D202" i="21" s="1"/>
  <c r="B201" i="21"/>
  <c r="C201" i="21" s="1"/>
  <c r="D201" i="21" s="1"/>
  <c r="C200" i="21"/>
  <c r="D200" i="21" s="1"/>
  <c r="C199" i="21"/>
  <c r="D199" i="21" s="1"/>
  <c r="B198" i="21"/>
  <c r="C198" i="21" s="1"/>
  <c r="D198" i="21" s="1"/>
  <c r="C197" i="21"/>
  <c r="D197" i="21" s="1"/>
  <c r="C196" i="21"/>
  <c r="D196" i="21" s="1"/>
  <c r="B195" i="21"/>
  <c r="C195" i="21" s="1"/>
  <c r="D195" i="21" s="1"/>
  <c r="C194" i="21"/>
  <c r="D194" i="21" s="1"/>
  <c r="B193" i="21"/>
  <c r="C193" i="21" s="1"/>
  <c r="D193" i="21" s="1"/>
  <c r="C192" i="21"/>
  <c r="D192" i="21" s="1"/>
  <c r="C191" i="21"/>
  <c r="D191" i="21" s="1"/>
  <c r="C190" i="21"/>
  <c r="D190" i="21" s="1"/>
  <c r="C189" i="21"/>
  <c r="D189" i="21" s="1"/>
  <c r="B188" i="21"/>
  <c r="C188" i="21" s="1"/>
  <c r="D188" i="21" s="1"/>
  <c r="C187" i="21"/>
  <c r="D187" i="21" s="1"/>
  <c r="C186" i="21"/>
  <c r="D186" i="21" s="1"/>
  <c r="C185" i="21"/>
  <c r="D185" i="21" s="1"/>
  <c r="B184" i="21"/>
  <c r="C184" i="21" s="1"/>
  <c r="D184" i="21" s="1"/>
  <c r="C183" i="21"/>
  <c r="D183" i="21" s="1"/>
  <c r="C182" i="21"/>
  <c r="D182" i="21" s="1"/>
  <c r="C181" i="21"/>
  <c r="D181" i="21" s="1"/>
  <c r="C179" i="21"/>
  <c r="D179" i="21" s="1"/>
  <c r="C178" i="21"/>
  <c r="D178" i="21" s="1"/>
  <c r="C177" i="21"/>
  <c r="D177" i="21" s="1"/>
  <c r="B176" i="21"/>
  <c r="C176" i="21" s="1"/>
  <c r="D176" i="21" s="1"/>
  <c r="C175" i="21"/>
  <c r="D175" i="21" s="1"/>
  <c r="C174" i="21"/>
  <c r="D174" i="21" s="1"/>
  <c r="B173" i="21"/>
  <c r="C173" i="21" s="1"/>
  <c r="D173" i="21" s="1"/>
  <c r="C172" i="21"/>
  <c r="D172" i="21" s="1"/>
  <c r="C171" i="21"/>
  <c r="D171" i="21" s="1"/>
  <c r="C170" i="21"/>
  <c r="D170" i="21" s="1"/>
  <c r="C169" i="21"/>
  <c r="D169" i="21" s="1"/>
  <c r="C168" i="21"/>
  <c r="D168" i="21" s="1"/>
  <c r="C167" i="21"/>
  <c r="D167" i="21" s="1"/>
  <c r="C166" i="21"/>
  <c r="D166" i="21" s="1"/>
  <c r="C165" i="21"/>
  <c r="D165" i="21" s="1"/>
  <c r="C164" i="21"/>
  <c r="D164" i="21" s="1"/>
  <c r="C163" i="21"/>
  <c r="D163" i="21" s="1"/>
  <c r="C158" i="21"/>
  <c r="D158" i="21" s="1"/>
  <c r="B157" i="21"/>
  <c r="C157" i="21" s="1"/>
  <c r="D157" i="21" s="1"/>
  <c r="C156" i="21"/>
  <c r="D156" i="21" s="1"/>
  <c r="B155" i="21"/>
  <c r="C155" i="21" s="1"/>
  <c r="D155" i="21" s="1"/>
  <c r="C154" i="21"/>
  <c r="D154" i="21" s="1"/>
  <c r="C153" i="21"/>
  <c r="D153" i="21" s="1"/>
  <c r="C152" i="21"/>
  <c r="D152" i="21" s="1"/>
  <c r="C151" i="21"/>
  <c r="D151" i="21" s="1"/>
  <c r="B150" i="21"/>
  <c r="C150" i="21" s="1"/>
  <c r="D150" i="21" s="1"/>
  <c r="C149" i="21"/>
  <c r="D149" i="21" s="1"/>
  <c r="C148" i="21"/>
  <c r="D148" i="21" s="1"/>
  <c r="C147" i="21"/>
  <c r="D147" i="21" s="1"/>
  <c r="B146" i="21"/>
  <c r="C146" i="21" s="1"/>
  <c r="D146" i="21" s="1"/>
  <c r="C145" i="21"/>
  <c r="D145" i="21" s="1"/>
  <c r="B144" i="21"/>
  <c r="C144" i="21" s="1"/>
  <c r="D144" i="21" s="1"/>
  <c r="C143" i="21"/>
  <c r="D143" i="21" s="1"/>
  <c r="C142" i="21"/>
  <c r="D142" i="21" s="1"/>
  <c r="B141" i="21"/>
  <c r="C141" i="21" s="1"/>
  <c r="D141" i="21" s="1"/>
  <c r="C140" i="21"/>
  <c r="D140" i="21" s="1"/>
  <c r="C139" i="21"/>
  <c r="D139" i="21" s="1"/>
  <c r="B139" i="21"/>
  <c r="C138" i="21"/>
  <c r="D138" i="21" s="1"/>
  <c r="B137" i="21"/>
  <c r="C137" i="21" s="1"/>
  <c r="D137" i="21" s="1"/>
  <c r="B129" i="21"/>
  <c r="C129" i="21" s="1"/>
  <c r="D129" i="21" s="1"/>
  <c r="C128" i="21"/>
  <c r="D128" i="21" s="1"/>
  <c r="C127" i="21"/>
  <c r="D127" i="21" s="1"/>
  <c r="C126" i="21"/>
  <c r="D126" i="21" s="1"/>
  <c r="C124" i="21"/>
  <c r="D124" i="21" s="1"/>
  <c r="C122" i="21"/>
  <c r="D122" i="21" s="1"/>
  <c r="B121" i="21"/>
  <c r="C121" i="21" s="1"/>
  <c r="D121" i="21" s="1"/>
  <c r="C120" i="21"/>
  <c r="D120" i="21" s="1"/>
  <c r="C119" i="21"/>
  <c r="D119" i="21" s="1"/>
  <c r="C118" i="21"/>
  <c r="D118" i="21" s="1"/>
  <c r="B117" i="21"/>
  <c r="C116" i="21"/>
  <c r="D116" i="21" s="1"/>
  <c r="B115" i="21"/>
  <c r="C115" i="21" s="1"/>
  <c r="D115" i="21" s="1"/>
  <c r="C114" i="21"/>
  <c r="D114" i="21" s="1"/>
  <c r="C113" i="21"/>
  <c r="D113" i="21" s="1"/>
  <c r="B112" i="21"/>
  <c r="C112" i="21" s="1"/>
  <c r="D112" i="21" s="1"/>
  <c r="C111" i="21"/>
  <c r="D111" i="21" s="1"/>
  <c r="C110" i="21"/>
  <c r="D110" i="21" s="1"/>
  <c r="C109" i="21"/>
  <c r="D109" i="21" s="1"/>
  <c r="C108" i="21"/>
  <c r="D108" i="21" s="1"/>
  <c r="C106" i="21"/>
  <c r="D106" i="21" s="1"/>
  <c r="C102" i="21"/>
  <c r="D102" i="21" s="1"/>
  <c r="C101" i="21"/>
  <c r="D101" i="21" s="1"/>
  <c r="C100" i="21"/>
  <c r="D100" i="21" s="1"/>
  <c r="C99" i="21"/>
  <c r="D99" i="21" s="1"/>
  <c r="D98" i="21"/>
  <c r="C98" i="21"/>
  <c r="C97" i="21"/>
  <c r="D97" i="21" s="1"/>
  <c r="B95" i="21"/>
  <c r="C94" i="21"/>
  <c r="D94" i="21" s="1"/>
  <c r="C93" i="21"/>
  <c r="D93" i="21" s="1"/>
  <c r="C92" i="21"/>
  <c r="D92" i="21" s="1"/>
  <c r="C91" i="21"/>
  <c r="D91" i="21" s="1"/>
  <c r="C90" i="21"/>
  <c r="D90" i="21" s="1"/>
  <c r="C89" i="21"/>
  <c r="D89" i="21" s="1"/>
  <c r="C88" i="21"/>
  <c r="D88" i="21" s="1"/>
  <c r="C85" i="21"/>
  <c r="D85" i="21" s="1"/>
  <c r="C83" i="21"/>
  <c r="D83" i="21" s="1"/>
  <c r="C82" i="21"/>
  <c r="D82" i="21" s="1"/>
  <c r="C81" i="21"/>
  <c r="D81" i="21" s="1"/>
  <c r="B80" i="21"/>
  <c r="C80" i="21" s="1"/>
  <c r="D80" i="21" s="1"/>
  <c r="C79" i="21"/>
  <c r="D79" i="21" s="1"/>
  <c r="C78" i="21"/>
  <c r="D78" i="21" s="1"/>
  <c r="C77" i="21"/>
  <c r="D77" i="21" s="1"/>
  <c r="C76" i="21"/>
  <c r="D76" i="21" s="1"/>
  <c r="C75" i="21"/>
  <c r="D75" i="21" s="1"/>
  <c r="C74" i="21"/>
  <c r="D74" i="21" s="1"/>
  <c r="C73" i="21"/>
  <c r="D73" i="21" s="1"/>
  <c r="B72" i="21"/>
  <c r="C72" i="21" s="1"/>
  <c r="D72" i="21" s="1"/>
  <c r="C71" i="21"/>
  <c r="D71" i="21" s="1"/>
  <c r="B70" i="21"/>
  <c r="C70" i="21" s="1"/>
  <c r="D70" i="21" s="1"/>
  <c r="C69" i="21"/>
  <c r="D69" i="21" s="1"/>
  <c r="C68" i="21"/>
  <c r="D68" i="21" s="1"/>
  <c r="C67" i="21"/>
  <c r="D67" i="21" s="1"/>
  <c r="C66" i="21"/>
  <c r="D66" i="21" s="1"/>
  <c r="B65" i="21"/>
  <c r="C65" i="21" s="1"/>
  <c r="D65" i="21" s="1"/>
  <c r="D64" i="21"/>
  <c r="C64" i="21"/>
  <c r="C63" i="21"/>
  <c r="D63" i="21" s="1"/>
  <c r="B62" i="21"/>
  <c r="C62" i="21" s="1"/>
  <c r="D62" i="21" s="1"/>
  <c r="C61" i="21"/>
  <c r="D61" i="21" s="1"/>
  <c r="C60" i="21"/>
  <c r="D60" i="21" s="1"/>
  <c r="C59" i="21"/>
  <c r="D59" i="21" s="1"/>
  <c r="B58" i="21"/>
  <c r="C58" i="21" s="1"/>
  <c r="D58" i="21" s="1"/>
  <c r="D57" i="21"/>
  <c r="C57" i="21"/>
  <c r="C56" i="21"/>
  <c r="D56" i="21" s="1"/>
  <c r="C55" i="21"/>
  <c r="D55" i="21" s="1"/>
  <c r="C54" i="21"/>
  <c r="D54" i="21" s="1"/>
  <c r="C53" i="21"/>
  <c r="D53" i="21" s="1"/>
  <c r="C52" i="21"/>
  <c r="D52" i="21" s="1"/>
  <c r="C51" i="21"/>
  <c r="D51" i="21" s="1"/>
  <c r="C50" i="21"/>
  <c r="D50" i="21" s="1"/>
  <c r="B49" i="21"/>
  <c r="C49" i="21" s="1"/>
  <c r="D49" i="21" s="1"/>
  <c r="C48" i="21"/>
  <c r="D48" i="21" s="1"/>
  <c r="C47" i="21"/>
  <c r="D47" i="21" s="1"/>
  <c r="B46" i="21"/>
  <c r="C46" i="21" s="1"/>
  <c r="D46" i="21" s="1"/>
  <c r="C45" i="21"/>
  <c r="D45" i="21" s="1"/>
  <c r="C44" i="21"/>
  <c r="B43" i="21"/>
  <c r="C42" i="21"/>
  <c r="D42" i="21" s="1"/>
  <c r="C41" i="21"/>
  <c r="D41" i="21" s="1"/>
  <c r="C40" i="21"/>
  <c r="B39" i="21"/>
  <c r="C38" i="21"/>
  <c r="D38" i="21" s="1"/>
  <c r="C37" i="21"/>
  <c r="D37" i="21" s="1"/>
  <c r="C36" i="21"/>
  <c r="D36" i="21" s="1"/>
  <c r="C35" i="21"/>
  <c r="D35" i="21" s="1"/>
  <c r="B34" i="21"/>
  <c r="C33" i="21"/>
  <c r="D33" i="21" s="1"/>
  <c r="C32" i="21"/>
  <c r="D32" i="21" s="1"/>
  <c r="C31" i="21"/>
  <c r="D31" i="21" s="1"/>
  <c r="C30" i="21"/>
  <c r="D30" i="21" s="1"/>
  <c r="C29" i="21"/>
  <c r="D29" i="21" s="1"/>
  <c r="C28" i="21"/>
  <c r="D28" i="21" s="1"/>
  <c r="C27" i="21"/>
  <c r="D27" i="21" s="1"/>
  <c r="C26" i="21"/>
  <c r="D26" i="21" s="1"/>
  <c r="C25" i="21"/>
  <c r="B24" i="21"/>
  <c r="C23" i="21"/>
  <c r="D23" i="21" s="1"/>
  <c r="C22" i="21"/>
  <c r="D22" i="21" s="1"/>
  <c r="C21" i="21"/>
  <c r="D21" i="21" s="1"/>
  <c r="B20" i="21"/>
  <c r="C20" i="21" s="1"/>
  <c r="D20" i="21" s="1"/>
  <c r="C19" i="21"/>
  <c r="D19" i="21" s="1"/>
  <c r="C18" i="21"/>
  <c r="D18" i="21" s="1"/>
  <c r="B17" i="21"/>
  <c r="C17" i="21" s="1"/>
  <c r="D17" i="21" s="1"/>
  <c r="D16" i="21"/>
  <c r="C16" i="21"/>
  <c r="C15" i="21"/>
  <c r="D15" i="21" s="1"/>
  <c r="C14" i="21"/>
  <c r="D14" i="21" s="1"/>
  <c r="C13" i="21"/>
  <c r="D13" i="21" s="1"/>
  <c r="C12" i="21"/>
  <c r="D12" i="21" s="1"/>
  <c r="C11" i="21"/>
  <c r="D11" i="21" s="1"/>
  <c r="C10" i="21"/>
  <c r="D10" i="21" s="1"/>
  <c r="B9" i="21"/>
  <c r="C9" i="21" s="1"/>
  <c r="D9" i="21" s="1"/>
  <c r="C8" i="21"/>
  <c r="D8" i="21" s="1"/>
  <c r="D7" i="21" s="1"/>
  <c r="C7" i="21"/>
  <c r="C6" i="21"/>
  <c r="D6" i="21" s="1"/>
  <c r="C5" i="21"/>
  <c r="D5" i="21" s="1"/>
  <c r="C71" i="20"/>
  <c r="D71" i="20" s="1"/>
  <c r="C70" i="20"/>
  <c r="D70" i="20" s="1"/>
  <c r="B69" i="20"/>
  <c r="C69" i="20" s="1"/>
  <c r="D69" i="20" s="1"/>
  <c r="C67" i="20"/>
  <c r="D67" i="20" s="1"/>
  <c r="C65" i="20"/>
  <c r="D65" i="20" s="1"/>
  <c r="D64" i="20" s="1"/>
  <c r="C64" i="20"/>
  <c r="B64" i="20"/>
  <c r="B63" i="20"/>
  <c r="B62" i="20" s="1"/>
  <c r="C61" i="20"/>
  <c r="D61" i="20" s="1"/>
  <c r="C60" i="20"/>
  <c r="D60" i="20" s="1"/>
  <c r="B59" i="20"/>
  <c r="C59" i="20" s="1"/>
  <c r="D59" i="20" s="1"/>
  <c r="B58" i="20"/>
  <c r="C58" i="20" s="1"/>
  <c r="D58" i="20" s="1"/>
  <c r="B57" i="20"/>
  <c r="B56" i="20" s="1"/>
  <c r="C56" i="20" s="1"/>
  <c r="D56" i="20" s="1"/>
  <c r="B55" i="20"/>
  <c r="B53" i="20" s="1"/>
  <c r="C53" i="20" s="1"/>
  <c r="D53" i="20" s="1"/>
  <c r="C54" i="20"/>
  <c r="D54" i="20" s="1"/>
  <c r="B54" i="20"/>
  <c r="B52" i="20"/>
  <c r="C52" i="20" s="1"/>
  <c r="D52" i="20" s="1"/>
  <c r="B51" i="20"/>
  <c r="C51" i="20" s="1"/>
  <c r="D51" i="20" s="1"/>
  <c r="B50" i="20"/>
  <c r="B49" i="20"/>
  <c r="B48" i="20" s="1"/>
  <c r="C48" i="20" s="1"/>
  <c r="D48" i="20" s="1"/>
  <c r="B42" i="20"/>
  <c r="C41" i="20"/>
  <c r="D41" i="20" s="1"/>
  <c r="C40" i="20"/>
  <c r="D40" i="20" s="1"/>
  <c r="C39" i="20"/>
  <c r="D39" i="20" s="1"/>
  <c r="C38" i="20"/>
  <c r="C42" i="20" s="1"/>
  <c r="C33" i="20"/>
  <c r="D33" i="20" s="1"/>
  <c r="B32" i="20"/>
  <c r="D31" i="20"/>
  <c r="C31" i="20"/>
  <c r="D30" i="20"/>
  <c r="C30" i="20"/>
  <c r="D29" i="20"/>
  <c r="C29" i="20"/>
  <c r="B29" i="20"/>
  <c r="C28" i="20"/>
  <c r="D28" i="20" s="1"/>
  <c r="C27" i="20"/>
  <c r="D27" i="20" s="1"/>
  <c r="B27" i="20"/>
  <c r="C26" i="20"/>
  <c r="D26" i="20" s="1"/>
  <c r="B25" i="20"/>
  <c r="C25" i="20" s="1"/>
  <c r="D25" i="20" s="1"/>
  <c r="C24" i="20"/>
  <c r="D24" i="20" s="1"/>
  <c r="B23" i="20"/>
  <c r="C23" i="20" s="1"/>
  <c r="D23" i="20" s="1"/>
  <c r="B22" i="20"/>
  <c r="C22" i="20" s="1"/>
  <c r="D22" i="20" s="1"/>
  <c r="C21" i="20"/>
  <c r="D21" i="20" s="1"/>
  <c r="C19" i="20"/>
  <c r="D19" i="20" s="1"/>
  <c r="B18" i="20"/>
  <c r="C18" i="20" s="1"/>
  <c r="D18" i="20" s="1"/>
  <c r="C17" i="20"/>
  <c r="D17" i="20" s="1"/>
  <c r="C16" i="20"/>
  <c r="D16" i="20" s="1"/>
  <c r="C15" i="20"/>
  <c r="D15" i="20" s="1"/>
  <c r="C14" i="20"/>
  <c r="D14" i="20" s="1"/>
  <c r="C13" i="20"/>
  <c r="D13" i="20" s="1"/>
  <c r="C12" i="20"/>
  <c r="D12" i="20" s="1"/>
  <c r="C11" i="20"/>
  <c r="D11" i="20" s="1"/>
  <c r="C10" i="20"/>
  <c r="D10" i="20" s="1"/>
  <c r="C9" i="20"/>
  <c r="C8" i="20"/>
  <c r="D8" i="20" s="1"/>
  <c r="C7" i="20"/>
  <c r="D7" i="20" s="1"/>
  <c r="C5" i="20"/>
  <c r="D5" i="20" s="1"/>
  <c r="B4" i="20"/>
  <c r="C4" i="20" s="1"/>
  <c r="D4" i="20" s="1"/>
  <c r="B71" i="18"/>
  <c r="C70" i="18"/>
  <c r="D70" i="18" s="1"/>
  <c r="C69" i="18"/>
  <c r="D69" i="18" s="1"/>
  <c r="C67" i="18"/>
  <c r="D67" i="18" s="1"/>
  <c r="C66" i="18"/>
  <c r="D66" i="18" s="1"/>
  <c r="C65" i="18"/>
  <c r="D65" i="18" s="1"/>
  <c r="C64" i="18"/>
  <c r="D64" i="18" s="1"/>
  <c r="C63" i="18"/>
  <c r="D63" i="18" s="1"/>
  <c r="C62" i="18"/>
  <c r="D62" i="18" s="1"/>
  <c r="C61" i="18"/>
  <c r="D61" i="18" s="1"/>
  <c r="C60" i="18"/>
  <c r="D60" i="18" s="1"/>
  <c r="C57" i="18"/>
  <c r="D55" i="18"/>
  <c r="C55" i="18"/>
  <c r="C54" i="18"/>
  <c r="C52" i="18" s="1"/>
  <c r="C53" i="18"/>
  <c r="D53" i="18" s="1"/>
  <c r="B52" i="18"/>
  <c r="C51" i="18"/>
  <c r="D51" i="18" s="1"/>
  <c r="C50" i="18"/>
  <c r="D50" i="18" s="1"/>
  <c r="D49" i="18" s="1"/>
  <c r="C49" i="18"/>
  <c r="B49" i="18"/>
  <c r="D48" i="18"/>
  <c r="C48" i="18"/>
  <c r="C47" i="18"/>
  <c r="D47" i="18" s="1"/>
  <c r="D46" i="18" s="1"/>
  <c r="C46" i="18"/>
  <c r="B46" i="18"/>
  <c r="C45" i="18"/>
  <c r="D45" i="18" s="1"/>
  <c r="D44" i="18" s="1"/>
  <c r="C44" i="18"/>
  <c r="B44" i="18"/>
  <c r="C43" i="18"/>
  <c r="D43" i="18" s="1"/>
  <c r="C42" i="18"/>
  <c r="D42" i="18" s="1"/>
  <c r="C41" i="18"/>
  <c r="D41" i="18" s="1"/>
  <c r="C40" i="18"/>
  <c r="D40" i="18" s="1"/>
  <c r="C39" i="18"/>
  <c r="B39" i="18"/>
  <c r="C38" i="18"/>
  <c r="D38" i="18" s="1"/>
  <c r="D37" i="18" s="1"/>
  <c r="C37" i="18"/>
  <c r="B37" i="18"/>
  <c r="C36" i="18"/>
  <c r="D36" i="18" s="1"/>
  <c r="C35" i="18"/>
  <c r="C33" i="18" s="1"/>
  <c r="D34" i="18"/>
  <c r="C34" i="18"/>
  <c r="B33" i="18"/>
  <c r="C32" i="18"/>
  <c r="C31" i="18" s="1"/>
  <c r="B31" i="18"/>
  <c r="C30" i="18"/>
  <c r="D30" i="18" s="1"/>
  <c r="C29" i="18"/>
  <c r="C28" i="18" s="1"/>
  <c r="B28" i="18"/>
  <c r="C27" i="18"/>
  <c r="D27" i="18" s="1"/>
  <c r="C26" i="18"/>
  <c r="D26" i="18" s="1"/>
  <c r="C25" i="18"/>
  <c r="B25" i="18"/>
  <c r="C24" i="18"/>
  <c r="D24" i="18" s="1"/>
  <c r="C23" i="18"/>
  <c r="D23" i="18" s="1"/>
  <c r="B22" i="18"/>
  <c r="C21" i="18"/>
  <c r="D21" i="18" s="1"/>
  <c r="C20" i="18"/>
  <c r="D20" i="18" s="1"/>
  <c r="C19" i="18"/>
  <c r="B19" i="18"/>
  <c r="D18" i="18"/>
  <c r="C18" i="18"/>
  <c r="C17" i="18"/>
  <c r="D17" i="18" s="1"/>
  <c r="C16" i="18"/>
  <c r="D16" i="18" s="1"/>
  <c r="C15" i="18"/>
  <c r="D15" i="18" s="1"/>
  <c r="C14" i="18"/>
  <c r="C13" i="18" s="1"/>
  <c r="B13" i="18"/>
  <c r="C12" i="18"/>
  <c r="D12" i="18" s="1"/>
  <c r="C11" i="18"/>
  <c r="C10" i="18"/>
  <c r="D10" i="18" s="1"/>
  <c r="B9" i="18"/>
  <c r="C8" i="18"/>
  <c r="D8" i="18" s="1"/>
  <c r="C7" i="18"/>
  <c r="C6" i="18" s="1"/>
  <c r="B6" i="18"/>
  <c r="C5" i="18"/>
  <c r="D5" i="18" s="1"/>
  <c r="D4" i="18" s="1"/>
  <c r="B4" i="18"/>
  <c r="C4" i="18" s="1"/>
  <c r="D248" i="1"/>
  <c r="B247" i="1"/>
  <c r="C247" i="1" s="1"/>
  <c r="D247" i="1" s="1"/>
  <c r="B246" i="1"/>
  <c r="C246" i="1" s="1"/>
  <c r="D246" i="1" s="1"/>
  <c r="B245" i="1"/>
  <c r="C245" i="1" s="1"/>
  <c r="D245" i="1" s="1"/>
  <c r="C242" i="1"/>
  <c r="D242" i="1" s="1"/>
  <c r="B241" i="1"/>
  <c r="B244" i="1" s="1"/>
  <c r="C244" i="1" s="1"/>
  <c r="D244" i="1" s="1"/>
  <c r="D240" i="1"/>
  <c r="C240" i="1"/>
  <c r="C239" i="1"/>
  <c r="D239" i="1" s="1"/>
  <c r="D238" i="1" s="1"/>
  <c r="C238" i="1"/>
  <c r="B238" i="1"/>
  <c r="D237" i="1"/>
  <c r="C237" i="1"/>
  <c r="C236" i="1"/>
  <c r="D236" i="1" s="1"/>
  <c r="C235" i="1"/>
  <c r="B235" i="1"/>
  <c r="C234" i="1"/>
  <c r="D234" i="1" s="1"/>
  <c r="D233" i="1" s="1"/>
  <c r="B233" i="1"/>
  <c r="C232" i="1"/>
  <c r="D232" i="1" s="1"/>
  <c r="D231" i="1" s="1"/>
  <c r="C231" i="1"/>
  <c r="B231" i="1"/>
  <c r="D230" i="1"/>
  <c r="C230" i="1"/>
  <c r="C229" i="1"/>
  <c r="D229" i="1" s="1"/>
  <c r="C228" i="1"/>
  <c r="D228" i="1" s="1"/>
  <c r="C227" i="1"/>
  <c r="D227" i="1" s="1"/>
  <c r="D226" i="1" s="1"/>
  <c r="B226" i="1"/>
  <c r="C225" i="1"/>
  <c r="D225" i="1" s="1"/>
  <c r="D224" i="1" s="1"/>
  <c r="C224" i="1"/>
  <c r="B224" i="1"/>
  <c r="D223" i="1"/>
  <c r="C222" i="1"/>
  <c r="D222" i="1" s="1"/>
  <c r="D221" i="1" s="1"/>
  <c r="C221" i="1"/>
  <c r="B221" i="1"/>
  <c r="C220" i="1"/>
  <c r="D220" i="1" s="1"/>
  <c r="D219" i="1" s="1"/>
  <c r="B219" i="1"/>
  <c r="C218" i="1"/>
  <c r="D218" i="1" s="1"/>
  <c r="C217" i="1"/>
  <c r="C216" i="1" s="1"/>
  <c r="B216" i="1"/>
  <c r="C215" i="1"/>
  <c r="D215" i="1" s="1"/>
  <c r="C214" i="1"/>
  <c r="D214" i="1" s="1"/>
  <c r="D213" i="1" s="1"/>
  <c r="C213" i="1"/>
  <c r="B213" i="1"/>
  <c r="C212" i="1"/>
  <c r="D212" i="1" s="1"/>
  <c r="D211" i="1" s="1"/>
  <c r="C211" i="1"/>
  <c r="B211" i="1"/>
  <c r="C210" i="1"/>
  <c r="D210" i="1" s="1"/>
  <c r="B210" i="1"/>
  <c r="B209" i="1"/>
  <c r="C209" i="1" s="1"/>
  <c r="B208" i="1"/>
  <c r="D207" i="1"/>
  <c r="C207" i="1"/>
  <c r="C206" i="1"/>
  <c r="D206" i="1" s="1"/>
  <c r="D205" i="1" s="1"/>
  <c r="C205" i="1"/>
  <c r="B205" i="1"/>
  <c r="C204" i="1"/>
  <c r="D204" i="1" s="1"/>
  <c r="D203" i="1"/>
  <c r="D202" i="1" s="1"/>
  <c r="C203" i="1"/>
  <c r="B202" i="1"/>
  <c r="B201" i="1"/>
  <c r="C201" i="1" s="1"/>
  <c r="D201" i="1" s="1"/>
  <c r="B200" i="1"/>
  <c r="C200" i="1" s="1"/>
  <c r="C199" i="1"/>
  <c r="D199" i="1" s="1"/>
  <c r="B198" i="1"/>
  <c r="D197" i="1"/>
  <c r="D196" i="1" s="1"/>
  <c r="C197" i="1"/>
  <c r="C196" i="1"/>
  <c r="B196" i="1"/>
  <c r="C195" i="1"/>
  <c r="D195" i="1" s="1"/>
  <c r="D194" i="1"/>
  <c r="D193" i="1" s="1"/>
  <c r="C194" i="1"/>
  <c r="C193" i="1" s="1"/>
  <c r="B193" i="1"/>
  <c r="C192" i="1"/>
  <c r="D192" i="1" s="1"/>
  <c r="D191" i="1" s="1"/>
  <c r="C191" i="1"/>
  <c r="B191" i="1"/>
  <c r="B187" i="1"/>
  <c r="C187" i="1"/>
  <c r="C184" i="1"/>
  <c r="D184" i="1" s="1"/>
  <c r="D183" i="1"/>
  <c r="D179" i="1"/>
  <c r="C177" i="1"/>
  <c r="D177" i="1" s="1"/>
  <c r="C176" i="1"/>
  <c r="D176" i="1" s="1"/>
  <c r="D175" i="1" s="1"/>
  <c r="C175" i="1"/>
  <c r="B175" i="1"/>
  <c r="D174" i="1"/>
  <c r="D173" i="1" s="1"/>
  <c r="C174" i="1"/>
  <c r="C173" i="1"/>
  <c r="B173" i="1"/>
  <c r="D172" i="1"/>
  <c r="D171" i="1"/>
  <c r="C170" i="1"/>
  <c r="C169" i="1" s="1"/>
  <c r="B169" i="1"/>
  <c r="C168" i="1"/>
  <c r="D168" i="1" s="1"/>
  <c r="D167" i="1" s="1"/>
  <c r="C167" i="1"/>
  <c r="B167" i="1"/>
  <c r="C166" i="1"/>
  <c r="D166" i="1" s="1"/>
  <c r="C165" i="1"/>
  <c r="D165" i="1" s="1"/>
  <c r="D164" i="1" s="1"/>
  <c r="C164" i="1"/>
  <c r="B164" i="1"/>
  <c r="D163" i="1"/>
  <c r="D161" i="1" s="1"/>
  <c r="C163" i="1"/>
  <c r="D162" i="1"/>
  <c r="C161" i="1"/>
  <c r="B161" i="1"/>
  <c r="C160" i="1"/>
  <c r="C158" i="1" s="1"/>
  <c r="D159" i="1"/>
  <c r="C159" i="1"/>
  <c r="B158" i="1"/>
  <c r="C157" i="1"/>
  <c r="D157" i="1" s="1"/>
  <c r="C156" i="1"/>
  <c r="C155" i="1" s="1"/>
  <c r="B155" i="1"/>
  <c r="D154" i="1"/>
  <c r="C153" i="1"/>
  <c r="C150" i="1" s="1"/>
  <c r="D152" i="1"/>
  <c r="D151" i="1"/>
  <c r="B150" i="1"/>
  <c r="D149" i="1"/>
  <c r="C148" i="1"/>
  <c r="D148" i="1" s="1"/>
  <c r="C147" i="1"/>
  <c r="C145" i="1" s="1"/>
  <c r="C146" i="1"/>
  <c r="D146" i="1" s="1"/>
  <c r="B145" i="1"/>
  <c r="D144" i="1"/>
  <c r="C142" i="1"/>
  <c r="C141" i="1" s="1"/>
  <c r="B141" i="1"/>
  <c r="D140" i="1"/>
  <c r="C139" i="1"/>
  <c r="D139" i="1" s="1"/>
  <c r="D138" i="1" s="1"/>
  <c r="C138" i="1"/>
  <c r="B138" i="1"/>
  <c r="D137" i="1"/>
  <c r="D136" i="1"/>
  <c r="B135" i="1"/>
  <c r="D135" i="1" s="1"/>
  <c r="C134" i="1"/>
  <c r="C131" i="1" s="1"/>
  <c r="D133" i="1"/>
  <c r="C133" i="1"/>
  <c r="C132" i="1"/>
  <c r="D132" i="1" s="1"/>
  <c r="B131" i="1"/>
  <c r="C130" i="1"/>
  <c r="D130" i="1" s="1"/>
  <c r="C129" i="1"/>
  <c r="C127" i="1" s="1"/>
  <c r="C128" i="1"/>
  <c r="D128" i="1" s="1"/>
  <c r="D127" i="1" s="1"/>
  <c r="B127" i="1"/>
  <c r="D126" i="1"/>
  <c r="C125" i="1"/>
  <c r="D125" i="1" s="1"/>
  <c r="B124" i="1"/>
  <c r="C124" i="1" s="1"/>
  <c r="B119" i="1"/>
  <c r="C118" i="1"/>
  <c r="D118" i="1" s="1"/>
  <c r="C117" i="1"/>
  <c r="D117" i="1" s="1"/>
  <c r="C116" i="1"/>
  <c r="D116" i="1" s="1"/>
  <c r="C115" i="1"/>
  <c r="D115" i="1" s="1"/>
  <c r="D119" i="1" s="1"/>
  <c r="D120" i="1" s="1"/>
  <c r="D112" i="1"/>
  <c r="D110" i="1" s="1"/>
  <c r="C112" i="1"/>
  <c r="D111" i="1"/>
  <c r="C111" i="1"/>
  <c r="C110" i="1"/>
  <c r="B110" i="1"/>
  <c r="C109" i="1"/>
  <c r="D109" i="1" s="1"/>
  <c r="D108" i="1" s="1"/>
  <c r="B109" i="1"/>
  <c r="B108" i="1"/>
  <c r="C107" i="1"/>
  <c r="D107" i="1" s="1"/>
  <c r="D106" i="1" s="1"/>
  <c r="C106" i="1"/>
  <c r="C105" i="1"/>
  <c r="D105" i="1" s="1"/>
  <c r="C104" i="1"/>
  <c r="D104" i="1" s="1"/>
  <c r="C103" i="1"/>
  <c r="D103" i="1" s="1"/>
  <c r="C102" i="1"/>
  <c r="D102" i="1" s="1"/>
  <c r="C101" i="1"/>
  <c r="D101" i="1" s="1"/>
  <c r="C100" i="1"/>
  <c r="D100" i="1" s="1"/>
  <c r="C99" i="1"/>
  <c r="D99" i="1" s="1"/>
  <c r="C98" i="1"/>
  <c r="C97" i="1" s="1"/>
  <c r="B97" i="1"/>
  <c r="C96" i="1"/>
  <c r="D96" i="1" s="1"/>
  <c r="D95" i="1" s="1"/>
  <c r="C95" i="1"/>
  <c r="B95" i="1"/>
  <c r="B113" i="1" s="1"/>
  <c r="C94" i="1"/>
  <c r="D94" i="1" s="1"/>
  <c r="C93" i="1"/>
  <c r="D93" i="1" s="1"/>
  <c r="C92" i="1"/>
  <c r="D92" i="1" s="1"/>
  <c r="D91" i="1" s="1"/>
  <c r="C91" i="1"/>
  <c r="B91" i="1"/>
  <c r="D90" i="1"/>
  <c r="C90" i="1"/>
  <c r="D89" i="1"/>
  <c r="C89" i="1"/>
  <c r="B89" i="1"/>
  <c r="C88" i="1"/>
  <c r="C86" i="1" s="1"/>
  <c r="C87" i="1"/>
  <c r="D87" i="1" s="1"/>
  <c r="B86" i="1"/>
  <c r="C85" i="1"/>
  <c r="D85" i="1" s="1"/>
  <c r="D84" i="1"/>
  <c r="D83" i="1" s="1"/>
  <c r="C84" i="1"/>
  <c r="C83" i="1" s="1"/>
  <c r="B83" i="1"/>
  <c r="C82" i="1"/>
  <c r="D82" i="1" s="1"/>
  <c r="C81" i="1"/>
  <c r="D81" i="1" s="1"/>
  <c r="C80" i="1"/>
  <c r="D80" i="1" s="1"/>
  <c r="C79" i="1"/>
  <c r="D79" i="1" s="1"/>
  <c r="C78" i="1"/>
  <c r="D78" i="1" s="1"/>
  <c r="C77" i="1"/>
  <c r="B77" i="1"/>
  <c r="D76" i="1"/>
  <c r="C76" i="1"/>
  <c r="C75" i="1"/>
  <c r="D75" i="1" s="1"/>
  <c r="C74" i="1"/>
  <c r="C73" i="1" s="1"/>
  <c r="B73" i="1"/>
  <c r="C72" i="1"/>
  <c r="D72" i="1" s="1"/>
  <c r="C71" i="1"/>
  <c r="D71" i="1" s="1"/>
  <c r="D70" i="1" s="1"/>
  <c r="C70" i="1"/>
  <c r="B70" i="1"/>
  <c r="D68" i="1"/>
  <c r="C68" i="1"/>
  <c r="D70" i="12"/>
  <c r="E70" i="12"/>
  <c r="D69" i="12"/>
  <c r="E69" i="12" s="1"/>
  <c r="D67" i="12"/>
  <c r="D66" i="12" s="1"/>
  <c r="E67" i="12"/>
  <c r="E66" i="12" s="1"/>
  <c r="C66" i="12"/>
  <c r="C71" i="12" s="1"/>
  <c r="C72" i="12"/>
  <c r="C73" i="12"/>
  <c r="D55" i="12"/>
  <c r="E55" i="12"/>
  <c r="E54" i="12"/>
  <c r="D54" i="12"/>
  <c r="C54" i="12"/>
  <c r="C51" i="12"/>
  <c r="C48" i="12"/>
  <c r="C47" i="12"/>
  <c r="C42" i="12"/>
  <c r="C39" i="12"/>
  <c r="C36" i="12"/>
  <c r="C32" i="12"/>
  <c r="C30" i="12"/>
  <c r="C28" i="12"/>
  <c r="C24" i="12"/>
  <c r="C21" i="12"/>
  <c r="C13" i="12"/>
  <c r="C10" i="12"/>
  <c r="C7" i="12"/>
  <c r="C56" i="12"/>
  <c r="B19" i="30" s="1"/>
  <c r="C57" i="12"/>
  <c r="C58" i="12"/>
  <c r="D53" i="12"/>
  <c r="E53" i="12"/>
  <c r="D52" i="12"/>
  <c r="E52" i="12"/>
  <c r="E51" i="12"/>
  <c r="D51" i="12"/>
  <c r="D50" i="12"/>
  <c r="E50" i="12"/>
  <c r="E49" i="12"/>
  <c r="D49" i="12"/>
  <c r="C49" i="12"/>
  <c r="D48" i="12"/>
  <c r="D46" i="12"/>
  <c r="E46" i="12"/>
  <c r="E45" i="12"/>
  <c r="D45" i="12"/>
  <c r="C45" i="12"/>
  <c r="D44" i="12"/>
  <c r="E44" i="12"/>
  <c r="D43" i="12"/>
  <c r="E43" i="12"/>
  <c r="E42" i="12"/>
  <c r="D42" i="12"/>
  <c r="D41" i="12"/>
  <c r="E41" i="12"/>
  <c r="E56" i="12" s="1"/>
  <c r="E57" i="12" s="1"/>
  <c r="E58" i="12" s="1"/>
  <c r="D40" i="12"/>
  <c r="E40" i="12"/>
  <c r="E39" i="12"/>
  <c r="D39" i="12"/>
  <c r="D38" i="12"/>
  <c r="E38" i="12"/>
  <c r="D37" i="12"/>
  <c r="D36" i="12"/>
  <c r="D35" i="12"/>
  <c r="E35" i="12"/>
  <c r="E34" i="12"/>
  <c r="D34" i="12"/>
  <c r="C34" i="12"/>
  <c r="D33" i="12"/>
  <c r="E33" i="12"/>
  <c r="E32" i="12"/>
  <c r="D32" i="12"/>
  <c r="D31" i="12"/>
  <c r="E31" i="12"/>
  <c r="D30" i="12"/>
  <c r="D29" i="12"/>
  <c r="E29" i="12"/>
  <c r="D27" i="12"/>
  <c r="D25" i="12"/>
  <c r="D26" i="12"/>
  <c r="D24" i="12"/>
  <c r="E26" i="12"/>
  <c r="E25" i="12"/>
  <c r="D23" i="12"/>
  <c r="E23" i="12"/>
  <c r="D22" i="12"/>
  <c r="E22" i="12"/>
  <c r="E21" i="12"/>
  <c r="D20" i="12"/>
  <c r="E20" i="12"/>
  <c r="E19" i="12"/>
  <c r="D19" i="12"/>
  <c r="C19" i="12"/>
  <c r="D18" i="12"/>
  <c r="E18" i="12"/>
  <c r="D17" i="12"/>
  <c r="D14" i="12"/>
  <c r="D15" i="12"/>
  <c r="D16" i="12"/>
  <c r="D13" i="12"/>
  <c r="E16" i="12"/>
  <c r="E15" i="12"/>
  <c r="E14" i="12"/>
  <c r="D12" i="12"/>
  <c r="E12" i="12"/>
  <c r="D11" i="12"/>
  <c r="E11" i="12"/>
  <c r="E10" i="12"/>
  <c r="D9" i="12"/>
  <c r="E9" i="12"/>
  <c r="D8" i="12"/>
  <c r="E8" i="12"/>
  <c r="E7" i="12"/>
  <c r="D7" i="12"/>
  <c r="E27" i="12"/>
  <c r="E24" i="12"/>
  <c r="E30" i="12"/>
  <c r="E28" i="12"/>
  <c r="E37" i="12"/>
  <c r="E36" i="12"/>
  <c r="E17" i="12"/>
  <c r="E13" i="12"/>
  <c r="E48" i="12"/>
  <c r="E47" i="12"/>
  <c r="D47" i="12"/>
  <c r="D28" i="12"/>
  <c r="D10" i="12"/>
  <c r="D21" i="12"/>
  <c r="D56" i="12"/>
  <c r="D57" i="12"/>
  <c r="D58" i="12" s="1"/>
  <c r="C44" i="10"/>
  <c r="D44" i="10" s="1"/>
  <c r="B43" i="10"/>
  <c r="C43" i="10" s="1"/>
  <c r="D43" i="10" s="1"/>
  <c r="B45" i="10"/>
  <c r="C45" i="10" s="1"/>
  <c r="D45" i="10" s="1"/>
  <c r="C41" i="10"/>
  <c r="D41" i="10"/>
  <c r="C39" i="10"/>
  <c r="D39" i="10"/>
  <c r="B38" i="10"/>
  <c r="C38" i="10" s="1"/>
  <c r="D38" i="10" s="1"/>
  <c r="B36" i="10"/>
  <c r="C36" i="10" s="1"/>
  <c r="D36" i="10" s="1"/>
  <c r="C37" i="10"/>
  <c r="D37" i="10" s="1"/>
  <c r="C35" i="10"/>
  <c r="D35" i="10"/>
  <c r="C34" i="10"/>
  <c r="D34" i="10"/>
  <c r="C33" i="10"/>
  <c r="D33" i="10"/>
  <c r="B32" i="10"/>
  <c r="C32" i="10" s="1"/>
  <c r="D32" i="10" s="1"/>
  <c r="C31" i="10"/>
  <c r="D31" i="10"/>
  <c r="B30" i="10"/>
  <c r="B29" i="10" s="1"/>
  <c r="C29" i="10" s="1"/>
  <c r="D29" i="10" s="1"/>
  <c r="C30" i="10"/>
  <c r="D30" i="10"/>
  <c r="C28" i="10"/>
  <c r="D28" i="10"/>
  <c r="B27" i="10"/>
  <c r="C27" i="10"/>
  <c r="D27" i="10"/>
  <c r="C26" i="10"/>
  <c r="D26" i="10" s="1"/>
  <c r="C25" i="10"/>
  <c r="D25" i="10"/>
  <c r="B24" i="10"/>
  <c r="C24" i="10"/>
  <c r="D24" i="10"/>
  <c r="C23" i="10"/>
  <c r="D23" i="10" s="1"/>
  <c r="C22" i="10"/>
  <c r="D22" i="10"/>
  <c r="C21" i="10"/>
  <c r="D21" i="10"/>
  <c r="B20" i="10"/>
  <c r="C20" i="10"/>
  <c r="D20" i="10"/>
  <c r="C19" i="10"/>
  <c r="D19" i="10" s="1"/>
  <c r="B18" i="10"/>
  <c r="B17" i="10"/>
  <c r="C17" i="10"/>
  <c r="D17" i="10"/>
  <c r="B16" i="10"/>
  <c r="B14" i="10" s="1"/>
  <c r="C14" i="10" s="1"/>
  <c r="D14" i="10" s="1"/>
  <c r="C16" i="10"/>
  <c r="D16" i="10" s="1"/>
  <c r="C15" i="10"/>
  <c r="D15" i="10"/>
  <c r="C13" i="10"/>
  <c r="D13" i="10"/>
  <c r="C12" i="10"/>
  <c r="D12" i="10" s="1"/>
  <c r="B11" i="10"/>
  <c r="C11" i="10"/>
  <c r="D11" i="10"/>
  <c r="C10" i="10"/>
  <c r="D10" i="10"/>
  <c r="C9" i="10"/>
  <c r="D9" i="10" s="1"/>
  <c r="C8" i="10"/>
  <c r="D8" i="10"/>
  <c r="B7" i="10"/>
  <c r="C7" i="10"/>
  <c r="D7" i="10"/>
  <c r="B6" i="10"/>
  <c r="B3" i="10" s="1"/>
  <c r="C3" i="10" s="1"/>
  <c r="D3" i="10" s="1"/>
  <c r="C6" i="10"/>
  <c r="D6" i="10" s="1"/>
  <c r="C5" i="10"/>
  <c r="D5" i="10"/>
  <c r="C4" i="10"/>
  <c r="D4" i="10"/>
  <c r="C18" i="10"/>
  <c r="D18" i="10"/>
  <c r="C57" i="1"/>
  <c r="C58" i="1"/>
  <c r="D58" i="1" s="1"/>
  <c r="C59" i="1"/>
  <c r="C60" i="1"/>
  <c r="D60" i="1" s="1"/>
  <c r="C61" i="1"/>
  <c r="D61" i="1" s="1"/>
  <c r="C63" i="1"/>
  <c r="D63" i="1" s="1"/>
  <c r="D59" i="1"/>
  <c r="D62" i="1"/>
  <c r="B64" i="1"/>
  <c r="B43" i="1"/>
  <c r="B39" i="1" s="1"/>
  <c r="B26" i="1"/>
  <c r="B25" i="1" s="1"/>
  <c r="B24" i="1"/>
  <c r="C24" i="1" s="1"/>
  <c r="B22" i="1"/>
  <c r="B29" i="1"/>
  <c r="C29" i="1" s="1"/>
  <c r="B49" i="1"/>
  <c r="B52" i="1"/>
  <c r="B9" i="1"/>
  <c r="B6" i="1"/>
  <c r="B44" i="1"/>
  <c r="C44" i="1" s="1"/>
  <c r="D44" i="1" s="1"/>
  <c r="C54" i="1"/>
  <c r="D54" i="1" s="1"/>
  <c r="C53" i="1"/>
  <c r="C51" i="1"/>
  <c r="D51" i="1"/>
  <c r="C50" i="1"/>
  <c r="D50" i="1" s="1"/>
  <c r="C48" i="1"/>
  <c r="D48" i="1" s="1"/>
  <c r="D47" i="1" s="1"/>
  <c r="C47" i="1"/>
  <c r="B47" i="1"/>
  <c r="C41" i="1"/>
  <c r="D41" i="1" s="1"/>
  <c r="C42" i="1"/>
  <c r="D42" i="1" s="1"/>
  <c r="C45" i="1"/>
  <c r="D45" i="1" s="1"/>
  <c r="C46" i="1"/>
  <c r="D46" i="1" s="1"/>
  <c r="C40" i="1"/>
  <c r="D40" i="1" s="1"/>
  <c r="C38" i="1"/>
  <c r="C37" i="1"/>
  <c r="B37" i="1"/>
  <c r="C35" i="1"/>
  <c r="D35" i="1"/>
  <c r="C36" i="1"/>
  <c r="D36" i="1" s="1"/>
  <c r="C34" i="1"/>
  <c r="D34" i="1" s="1"/>
  <c r="B33" i="1"/>
  <c r="C32" i="1"/>
  <c r="C31" i="1" s="1"/>
  <c r="B31" i="1"/>
  <c r="C30" i="1"/>
  <c r="D30" i="1" s="1"/>
  <c r="C27" i="1"/>
  <c r="D27" i="1" s="1"/>
  <c r="C23" i="1"/>
  <c r="D23" i="1" s="1"/>
  <c r="C21" i="1"/>
  <c r="D21" i="1" s="1"/>
  <c r="C20" i="1"/>
  <c r="D20" i="1" s="1"/>
  <c r="B19" i="1"/>
  <c r="C15" i="1"/>
  <c r="D15" i="1" s="1"/>
  <c r="C16" i="1"/>
  <c r="D16" i="1"/>
  <c r="C17" i="1"/>
  <c r="D17" i="1"/>
  <c r="C18" i="1"/>
  <c r="D18" i="1" s="1"/>
  <c r="C14" i="1"/>
  <c r="D14" i="1" s="1"/>
  <c r="B13" i="1"/>
  <c r="C11" i="1"/>
  <c r="D11" i="1" s="1"/>
  <c r="C12" i="1"/>
  <c r="D12" i="1"/>
  <c r="C10" i="1"/>
  <c r="D10" i="1" s="1"/>
  <c r="C8" i="1"/>
  <c r="D8" i="1" s="1"/>
  <c r="C7" i="1"/>
  <c r="D7" i="1" s="1"/>
  <c r="B4" i="1"/>
  <c r="D38" i="1"/>
  <c r="D37" i="1" s="1"/>
  <c r="B123" i="21" l="1"/>
  <c r="B342" i="21"/>
  <c r="C342" i="21" s="1"/>
  <c r="D342" i="21" s="1"/>
  <c r="B796" i="21"/>
  <c r="D34" i="21"/>
  <c r="F10" i="35"/>
  <c r="B10" i="30"/>
  <c r="D10" i="30" s="1"/>
  <c r="F10" i="30" s="1"/>
  <c r="C333" i="21"/>
  <c r="D333" i="21" s="1"/>
  <c r="B616" i="21"/>
  <c r="B625" i="21" s="1"/>
  <c r="C625" i="21" s="1"/>
  <c r="D625" i="21" s="1"/>
  <c r="B1140" i="21"/>
  <c r="C1140" i="21" s="1"/>
  <c r="D1140" i="21" s="1"/>
  <c r="B1076" i="21"/>
  <c r="C1076" i="21" s="1"/>
  <c r="D1076" i="21" s="1"/>
  <c r="B180" i="21"/>
  <c r="C180" i="21" s="1"/>
  <c r="D180" i="21" s="1"/>
  <c r="C1065" i="21"/>
  <c r="D1065" i="21" s="1"/>
  <c r="B40" i="10"/>
  <c r="C11" i="30"/>
  <c r="K11" i="35"/>
  <c r="I11" i="35"/>
  <c r="J19" i="35"/>
  <c r="L23" i="35"/>
  <c r="M23" i="35" s="1"/>
  <c r="N23" i="35" s="1"/>
  <c r="F25" i="35"/>
  <c r="E25" i="35" s="1"/>
  <c r="C6" i="20"/>
  <c r="D25" i="21"/>
  <c r="D24" i="21" s="1"/>
  <c r="C24" i="21"/>
  <c r="D44" i="21"/>
  <c r="D43" i="21" s="1"/>
  <c r="C43" i="21"/>
  <c r="C34" i="21"/>
  <c r="C39" i="21"/>
  <c r="D40" i="21"/>
  <c r="D39" i="21" s="1"/>
  <c r="C95" i="21"/>
  <c r="C41" i="23"/>
  <c r="C34" i="23"/>
  <c r="D41" i="23"/>
  <c r="C90" i="23"/>
  <c r="J16" i="35"/>
  <c r="J17" i="35"/>
  <c r="J26" i="35"/>
  <c r="L22" i="35"/>
  <c r="M22" i="35" s="1"/>
  <c r="N22" i="35" s="1"/>
  <c r="E22" i="35"/>
  <c r="D95" i="21"/>
  <c r="C129" i="19"/>
  <c r="D129" i="19" s="1"/>
  <c r="J13" i="35"/>
  <c r="C66" i="23"/>
  <c r="J4" i="35"/>
  <c r="D26" i="23"/>
  <c r="D25" i="23"/>
  <c r="C75" i="23"/>
  <c r="C60" i="23"/>
  <c r="B102" i="23"/>
  <c r="E68" i="12"/>
  <c r="E71" i="12" s="1"/>
  <c r="E72" i="12" s="1"/>
  <c r="E73" i="12" s="1"/>
  <c r="E74" i="12" s="1"/>
  <c r="D68" i="12"/>
  <c r="D71" i="12" s="1"/>
  <c r="D72" i="12" s="1"/>
  <c r="D73" i="12" s="1"/>
  <c r="J15" i="35"/>
  <c r="J8" i="35"/>
  <c r="C43" i="20"/>
  <c r="D43" i="20" s="1"/>
  <c r="J5" i="35"/>
  <c r="J6" i="35"/>
  <c r="C6" i="30" s="1"/>
  <c r="D6" i="30" s="1"/>
  <c r="B33" i="24"/>
  <c r="C18" i="24"/>
  <c r="D18" i="24" s="1"/>
  <c r="C19" i="24"/>
  <c r="D19" i="24" s="1"/>
  <c r="C17" i="24"/>
  <c r="D17" i="24" s="1"/>
  <c r="B378" i="24"/>
  <c r="C378" i="24" s="1"/>
  <c r="D378" i="24" s="1"/>
  <c r="C20" i="24"/>
  <c r="D20" i="24" s="1"/>
  <c r="B15" i="24"/>
  <c r="B88" i="24" s="1"/>
  <c r="B296" i="24"/>
  <c r="C296" i="24" s="1"/>
  <c r="D296" i="24" s="1"/>
  <c r="C220" i="24"/>
  <c r="B280" i="24"/>
  <c r="C280" i="24" s="1"/>
  <c r="D280" i="24" s="1"/>
  <c r="B261" i="24"/>
  <c r="B265" i="24" s="1"/>
  <c r="C265" i="24" s="1"/>
  <c r="D265" i="24" s="1"/>
  <c r="B180" i="1"/>
  <c r="B17" i="30" s="1"/>
  <c r="D74" i="12"/>
  <c r="C74" i="12"/>
  <c r="C128" i="12"/>
  <c r="C129" i="12" s="1"/>
  <c r="B22" i="30"/>
  <c r="C142" i="12"/>
  <c r="C143" i="12" s="1"/>
  <c r="D137" i="12"/>
  <c r="D141" i="12" s="1"/>
  <c r="D142" i="12" s="1"/>
  <c r="D143" i="12" s="1"/>
  <c r="C63" i="19"/>
  <c r="D63" i="19" s="1"/>
  <c r="B183" i="25"/>
  <c r="B127" i="25"/>
  <c r="B93" i="25"/>
  <c r="C93" i="25" s="1"/>
  <c r="D93" i="25" s="1"/>
  <c r="B185" i="25"/>
  <c r="C183" i="25"/>
  <c r="D183" i="25" s="1"/>
  <c r="C178" i="25"/>
  <c r="D178" i="25" s="1"/>
  <c r="B72" i="25"/>
  <c r="C97" i="25"/>
  <c r="C76" i="25"/>
  <c r="D76" i="25" s="1"/>
  <c r="C16" i="24"/>
  <c r="C244" i="24"/>
  <c r="D244" i="24" s="1"/>
  <c r="D261" i="24" s="1"/>
  <c r="C70" i="24"/>
  <c r="D70" i="24" s="1"/>
  <c r="B159" i="24"/>
  <c r="B364" i="24"/>
  <c r="C195" i="24"/>
  <c r="D195" i="24" s="1"/>
  <c r="C272" i="24"/>
  <c r="D272" i="24" s="1"/>
  <c r="B403" i="24"/>
  <c r="C362" i="24"/>
  <c r="B101" i="24"/>
  <c r="E100" i="12"/>
  <c r="D127" i="12"/>
  <c r="D128" i="12" s="1"/>
  <c r="D129" i="12" s="1"/>
  <c r="C144" i="12"/>
  <c r="E85" i="12"/>
  <c r="E84" i="12" s="1"/>
  <c r="E103" i="12"/>
  <c r="E119" i="12"/>
  <c r="E118" i="12" s="1"/>
  <c r="E126" i="12"/>
  <c r="E123" i="12" s="1"/>
  <c r="E127" i="12" s="1"/>
  <c r="E128" i="12" s="1"/>
  <c r="E129" i="12" s="1"/>
  <c r="E139" i="12"/>
  <c r="E137" i="12" s="1"/>
  <c r="E141" i="12" s="1"/>
  <c r="E142" i="12" s="1"/>
  <c r="E143" i="12" s="1"/>
  <c r="E82" i="12"/>
  <c r="E81" i="12" s="1"/>
  <c r="E89" i="12"/>
  <c r="E87" i="12" s="1"/>
  <c r="E110" i="12"/>
  <c r="E108" i="12" s="1"/>
  <c r="D72" i="23"/>
  <c r="D114" i="23"/>
  <c r="D60" i="23"/>
  <c r="D17" i="23"/>
  <c r="D16" i="23" s="1"/>
  <c r="D91" i="23"/>
  <c r="D90" i="23" s="1"/>
  <c r="C63" i="23"/>
  <c r="D85" i="23"/>
  <c r="C114" i="23"/>
  <c r="C14" i="23"/>
  <c r="D14" i="23" s="1"/>
  <c r="D13" i="23" s="1"/>
  <c r="D67" i="23"/>
  <c r="D66" i="23" s="1"/>
  <c r="D96" i="23"/>
  <c r="B4" i="23"/>
  <c r="C44" i="23"/>
  <c r="B99" i="23"/>
  <c r="C99" i="23"/>
  <c r="D100" i="23"/>
  <c r="D99" i="23" s="1"/>
  <c r="D36" i="23"/>
  <c r="D103" i="23"/>
  <c r="D102" i="23" s="1"/>
  <c r="C102" i="23"/>
  <c r="B50" i="23"/>
  <c r="C21" i="23"/>
  <c r="D64" i="23"/>
  <c r="D63" i="23" s="1"/>
  <c r="D71" i="23"/>
  <c r="D70" i="23" s="1"/>
  <c r="D78" i="23"/>
  <c r="D75" i="23" s="1"/>
  <c r="D95" i="23"/>
  <c r="D94" i="23" s="1"/>
  <c r="C32" i="23"/>
  <c r="D32" i="23" s="1"/>
  <c r="C10" i="23"/>
  <c r="D10" i="23" s="1"/>
  <c r="C23" i="23"/>
  <c r="C36" i="23"/>
  <c r="C6" i="23"/>
  <c r="D9" i="23"/>
  <c r="D31" i="23"/>
  <c r="D45" i="23"/>
  <c r="D44" i="23" s="1"/>
  <c r="B4" i="19"/>
  <c r="C5" i="19"/>
  <c r="B111" i="19"/>
  <c r="C111" i="19" s="1"/>
  <c r="D111" i="19" s="1"/>
  <c r="C116" i="19"/>
  <c r="D116" i="19" s="1"/>
  <c r="D25" i="19"/>
  <c r="D21" i="19" s="1"/>
  <c r="B121" i="19"/>
  <c r="D87" i="19"/>
  <c r="D83" i="19" s="1"/>
  <c r="D149" i="19"/>
  <c r="C76" i="19"/>
  <c r="D76" i="19" s="1"/>
  <c r="C149" i="19"/>
  <c r="D151" i="19"/>
  <c r="C182" i="19"/>
  <c r="D52" i="19"/>
  <c r="D51" i="19" s="1"/>
  <c r="C121" i="19"/>
  <c r="D72" i="19"/>
  <c r="D121" i="19" s="1"/>
  <c r="C14" i="19"/>
  <c r="D28" i="19"/>
  <c r="D26" i="19" s="1"/>
  <c r="B38" i="19"/>
  <c r="C38" i="19" s="1"/>
  <c r="D38" i="19" s="1"/>
  <c r="C39" i="19"/>
  <c r="D39" i="19" s="1"/>
  <c r="C91" i="19"/>
  <c r="B130" i="21"/>
  <c r="C123" i="21"/>
  <c r="D123" i="21" s="1"/>
  <c r="C117" i="21"/>
  <c r="D117" i="21" s="1"/>
  <c r="B805" i="21"/>
  <c r="C805" i="21" s="1"/>
  <c r="C796" i="21"/>
  <c r="D796" i="21" s="1"/>
  <c r="C243" i="21"/>
  <c r="D243" i="21" s="1"/>
  <c r="B350" i="21"/>
  <c r="C350" i="21" s="1"/>
  <c r="D350" i="21" s="1"/>
  <c r="C616" i="21"/>
  <c r="D616" i="21" s="1"/>
  <c r="C1148" i="21"/>
  <c r="D1148" i="21" s="1"/>
  <c r="B84" i="21"/>
  <c r="C726" i="21"/>
  <c r="D726" i="21" s="1"/>
  <c r="C453" i="21"/>
  <c r="D453" i="21" s="1"/>
  <c r="B452" i="21"/>
  <c r="C452" i="21" s="1"/>
  <c r="D452" i="21" s="1"/>
  <c r="B104" i="21"/>
  <c r="C888" i="21"/>
  <c r="D888" i="21" s="1"/>
  <c r="B449" i="21"/>
  <c r="C449" i="21" s="1"/>
  <c r="D449" i="21" s="1"/>
  <c r="C450" i="21"/>
  <c r="D450" i="21" s="1"/>
  <c r="B159" i="21"/>
  <c r="C159" i="21" s="1"/>
  <c r="D159" i="21" s="1"/>
  <c r="C484" i="21"/>
  <c r="D484" i="21" s="1"/>
  <c r="B700" i="21"/>
  <c r="C1231" i="21"/>
  <c r="D1231" i="21" s="1"/>
  <c r="B1263" i="21"/>
  <c r="B427" i="21"/>
  <c r="B490" i="21"/>
  <c r="C490" i="21" s="1"/>
  <c r="D490" i="21" s="1"/>
  <c r="B988" i="21"/>
  <c r="C978" i="21"/>
  <c r="D978" i="21" s="1"/>
  <c r="C518" i="21"/>
  <c r="D518" i="21" s="1"/>
  <c r="B848" i="21"/>
  <c r="C848" i="21" s="1"/>
  <c r="D848" i="21" s="1"/>
  <c r="C62" i="20"/>
  <c r="D62" i="20" s="1"/>
  <c r="B66" i="20"/>
  <c r="C57" i="20"/>
  <c r="D57" i="20" s="1"/>
  <c r="C63" i="20"/>
  <c r="D63" i="20" s="1"/>
  <c r="D9" i="20"/>
  <c r="D6" i="20" s="1"/>
  <c r="C32" i="20"/>
  <c r="D38" i="20"/>
  <c r="D42" i="20" s="1"/>
  <c r="B20" i="20"/>
  <c r="C20" i="20" s="1"/>
  <c r="D20" i="20" s="1"/>
  <c r="C49" i="20"/>
  <c r="D49" i="20" s="1"/>
  <c r="C55" i="20"/>
  <c r="D55" i="20" s="1"/>
  <c r="B68" i="20"/>
  <c r="D7" i="18"/>
  <c r="D6" i="18" s="1"/>
  <c r="D35" i="18"/>
  <c r="D33" i="18" s="1"/>
  <c r="D39" i="18"/>
  <c r="D14" i="18"/>
  <c r="D13" i="18" s="1"/>
  <c r="D19" i="18"/>
  <c r="C9" i="18"/>
  <c r="D22" i="18"/>
  <c r="B56" i="18"/>
  <c r="B58" i="18" s="1"/>
  <c r="B72" i="18" s="1"/>
  <c r="C22" i="18"/>
  <c r="C58" i="18" s="1"/>
  <c r="D25" i="18"/>
  <c r="D71" i="18"/>
  <c r="D11" i="18"/>
  <c r="D9" i="18" s="1"/>
  <c r="D32" i="18"/>
  <c r="D31" i="18" s="1"/>
  <c r="D29" i="18"/>
  <c r="D28" i="18" s="1"/>
  <c r="C71" i="18"/>
  <c r="D54" i="18"/>
  <c r="D52" i="18" s="1"/>
  <c r="D235" i="1"/>
  <c r="D200" i="1"/>
  <c r="D198" i="1" s="1"/>
  <c r="C198" i="1"/>
  <c r="D209" i="1"/>
  <c r="D208" i="1" s="1"/>
  <c r="C208" i="1"/>
  <c r="D217" i="1"/>
  <c r="D216" i="1" s="1"/>
  <c r="D241" i="1" s="1"/>
  <c r="B250" i="1"/>
  <c r="C202" i="1"/>
  <c r="C219" i="1"/>
  <c r="C226" i="1"/>
  <c r="C233" i="1"/>
  <c r="D145" i="1"/>
  <c r="D124" i="1"/>
  <c r="C180" i="1"/>
  <c r="D180" i="1" s="1"/>
  <c r="C188" i="1"/>
  <c r="D188" i="1" s="1"/>
  <c r="B182" i="1"/>
  <c r="D142" i="1"/>
  <c r="D141" i="1" s="1"/>
  <c r="D147" i="1"/>
  <c r="D156" i="1"/>
  <c r="D155" i="1" s="1"/>
  <c r="D170" i="1"/>
  <c r="D169" i="1" s="1"/>
  <c r="D185" i="1"/>
  <c r="D187" i="1" s="1"/>
  <c r="D134" i="1"/>
  <c r="D160" i="1"/>
  <c r="D158" i="1" s="1"/>
  <c r="D153" i="1"/>
  <c r="D150" i="1" s="1"/>
  <c r="D77" i="1"/>
  <c r="B120" i="1"/>
  <c r="D88" i="1"/>
  <c r="D86" i="1" s="1"/>
  <c r="D98" i="1"/>
  <c r="D97" i="1" s="1"/>
  <c r="D74" i="1"/>
  <c r="D73" i="1" s="1"/>
  <c r="C119" i="1"/>
  <c r="C120" i="1" s="1"/>
  <c r="C108" i="1"/>
  <c r="C43" i="1"/>
  <c r="D43" i="1" s="1"/>
  <c r="C19" i="1"/>
  <c r="D6" i="1"/>
  <c r="D9" i="1"/>
  <c r="D32" i="1"/>
  <c r="D31" i="1" s="1"/>
  <c r="C49" i="1"/>
  <c r="D49" i="1"/>
  <c r="C22" i="1"/>
  <c r="D24" i="1"/>
  <c r="D22" i="1" s="1"/>
  <c r="C52" i="1"/>
  <c r="C64" i="1"/>
  <c r="D13" i="1"/>
  <c r="D33" i="1"/>
  <c r="D57" i="1"/>
  <c r="D64" i="1" s="1"/>
  <c r="C33" i="1"/>
  <c r="C13" i="1"/>
  <c r="D19" i="1"/>
  <c r="C26" i="1"/>
  <c r="D39" i="1"/>
  <c r="C28" i="1"/>
  <c r="D29" i="1"/>
  <c r="D28" i="1" s="1"/>
  <c r="C6" i="1"/>
  <c r="D53" i="1"/>
  <c r="D52" i="1" s="1"/>
  <c r="C9" i="1"/>
  <c r="B28" i="1"/>
  <c r="B55" i="1" s="1"/>
  <c r="B65" i="1" s="1"/>
  <c r="C39" i="1"/>
  <c r="B1166" i="21" l="1"/>
  <c r="B893" i="21"/>
  <c r="B901" i="21" s="1"/>
  <c r="C901" i="21" s="1"/>
  <c r="D901" i="21" s="1"/>
  <c r="B247" i="21"/>
  <c r="B254" i="21" s="1"/>
  <c r="C254" i="21" s="1"/>
  <c r="L10" i="35"/>
  <c r="N10" i="35" s="1"/>
  <c r="K10" i="35"/>
  <c r="E10" i="35"/>
  <c r="B25" i="30"/>
  <c r="B128" i="25"/>
  <c r="F27" i="35"/>
  <c r="B27" i="30"/>
  <c r="D27" i="30" s="1"/>
  <c r="I26" i="35"/>
  <c r="C26" i="30"/>
  <c r="F26" i="35"/>
  <c r="B26" i="30"/>
  <c r="B46" i="10"/>
  <c r="C46" i="10" s="1"/>
  <c r="D46" i="10" s="1"/>
  <c r="C40" i="10"/>
  <c r="D40" i="10" s="1"/>
  <c r="J25" i="35"/>
  <c r="L25" i="35" s="1"/>
  <c r="N25" i="35" s="1"/>
  <c r="C16" i="30"/>
  <c r="D16" i="30" s="1"/>
  <c r="I16" i="35"/>
  <c r="K16" i="35"/>
  <c r="C17" i="30"/>
  <c r="I17" i="35"/>
  <c r="K17" i="35"/>
  <c r="D17" i="30"/>
  <c r="C19" i="30"/>
  <c r="D19" i="30" s="1"/>
  <c r="K19" i="35"/>
  <c r="I19" i="35"/>
  <c r="I8" i="35"/>
  <c r="C8" i="30"/>
  <c r="L19" i="35"/>
  <c r="M19" i="35" s="1"/>
  <c r="N19" i="35" s="1"/>
  <c r="C5" i="30"/>
  <c r="K5" i="35"/>
  <c r="I5" i="35"/>
  <c r="I15" i="35"/>
  <c r="K15" i="35"/>
  <c r="C15" i="30"/>
  <c r="D15" i="30" s="1"/>
  <c r="K6" i="35"/>
  <c r="I6" i="35"/>
  <c r="L15" i="35"/>
  <c r="N15" i="35" s="1"/>
  <c r="L13" i="35"/>
  <c r="N13" i="35" s="1"/>
  <c r="L26" i="35"/>
  <c r="N26" i="35" s="1"/>
  <c r="L6" i="35"/>
  <c r="N6" i="35" s="1"/>
  <c r="L17" i="35"/>
  <c r="N17" i="35" s="1"/>
  <c r="L16" i="35"/>
  <c r="N16" i="35" s="1"/>
  <c r="C15" i="24"/>
  <c r="C88" i="24" s="1"/>
  <c r="F8" i="35"/>
  <c r="E8" i="35" s="1"/>
  <c r="B8" i="30"/>
  <c r="B106" i="23"/>
  <c r="J18" i="35"/>
  <c r="D18" i="30"/>
  <c r="D144" i="12"/>
  <c r="B108" i="23"/>
  <c r="B115" i="23" s="1"/>
  <c r="F5" i="35"/>
  <c r="E5" i="35" s="1"/>
  <c r="B5" i="30"/>
  <c r="C106" i="23"/>
  <c r="C13" i="23"/>
  <c r="B52" i="23"/>
  <c r="B61" i="23" s="1"/>
  <c r="F4" i="35"/>
  <c r="K4" i="35" s="1"/>
  <c r="B4" i="30"/>
  <c r="D4" i="30" s="1"/>
  <c r="B405" i="24"/>
  <c r="C405" i="24" s="1"/>
  <c r="D405" i="24" s="1"/>
  <c r="B274" i="24"/>
  <c r="B130" i="19"/>
  <c r="C130" i="19" s="1"/>
  <c r="D130" i="19" s="1"/>
  <c r="B13" i="30"/>
  <c r="D13" i="30" s="1"/>
  <c r="D22" i="30"/>
  <c r="F22" i="30" s="1"/>
  <c r="D23" i="30"/>
  <c r="F23" i="30" s="1"/>
  <c r="F128" i="25"/>
  <c r="B186" i="25"/>
  <c r="D97" i="25"/>
  <c r="D127" i="25" s="1"/>
  <c r="C127" i="25"/>
  <c r="C72" i="25"/>
  <c r="D72" i="25" s="1"/>
  <c r="F72" i="25"/>
  <c r="C403" i="24"/>
  <c r="D403" i="24" s="1"/>
  <c r="C261" i="24"/>
  <c r="B161" i="24"/>
  <c r="C101" i="24"/>
  <c r="D101" i="24" s="1"/>
  <c r="B102" i="24"/>
  <c r="C102" i="24" s="1"/>
  <c r="D102" i="24" s="1"/>
  <c r="B369" i="24"/>
  <c r="C369" i="24" s="1"/>
  <c r="D369" i="24" s="1"/>
  <c r="B379" i="24"/>
  <c r="D16" i="24"/>
  <c r="D15" i="24" s="1"/>
  <c r="D88" i="24" s="1"/>
  <c r="D362" i="24"/>
  <c r="D364" i="24" s="1"/>
  <c r="C364" i="24"/>
  <c r="C159" i="24"/>
  <c r="D159" i="24" s="1"/>
  <c r="B279" i="24"/>
  <c r="B275" i="24"/>
  <c r="C275" i="24" s="1"/>
  <c r="D275" i="24" s="1"/>
  <c r="C274" i="24"/>
  <c r="D274" i="24" s="1"/>
  <c r="E144" i="12"/>
  <c r="C30" i="23"/>
  <c r="D8" i="23"/>
  <c r="D106" i="23"/>
  <c r="C19" i="23"/>
  <c r="D21" i="23"/>
  <c r="D19" i="23" s="1"/>
  <c r="C8" i="23"/>
  <c r="C4" i="23"/>
  <c r="D6" i="23"/>
  <c r="D4" i="23" s="1"/>
  <c r="C108" i="23"/>
  <c r="C115" i="23"/>
  <c r="D30" i="23"/>
  <c r="C188" i="19"/>
  <c r="D182" i="19"/>
  <c r="D188" i="19" s="1"/>
  <c r="D5" i="19"/>
  <c r="D4" i="19" s="1"/>
  <c r="C4" i="19"/>
  <c r="B57" i="19"/>
  <c r="C427" i="21"/>
  <c r="D427" i="21" s="1"/>
  <c r="B436" i="21"/>
  <c r="C436" i="21" s="1"/>
  <c r="D436" i="21" s="1"/>
  <c r="C1263" i="21"/>
  <c r="D1263" i="21" s="1"/>
  <c r="B1272" i="21"/>
  <c r="J9" i="35" s="1"/>
  <c r="B1175" i="21"/>
  <c r="C1166" i="21"/>
  <c r="C104" i="21"/>
  <c r="D104" i="21" s="1"/>
  <c r="B132" i="21"/>
  <c r="C132" i="21" s="1"/>
  <c r="D132" i="21" s="1"/>
  <c r="C700" i="21"/>
  <c r="D700" i="21" s="1"/>
  <c r="B710" i="21"/>
  <c r="C710" i="21" s="1"/>
  <c r="D710" i="21" s="1"/>
  <c r="B997" i="21"/>
  <c r="C997" i="21" s="1"/>
  <c r="D997" i="21" s="1"/>
  <c r="C988" i="21"/>
  <c r="D988" i="21" s="1"/>
  <c r="C84" i="21"/>
  <c r="D84" i="21" s="1"/>
  <c r="B86" i="21"/>
  <c r="B522" i="21"/>
  <c r="C130" i="21"/>
  <c r="D130" i="21" s="1"/>
  <c r="C34" i="20"/>
  <c r="D32" i="20"/>
  <c r="D34" i="20" s="1"/>
  <c r="B72" i="20"/>
  <c r="B73" i="20" s="1"/>
  <c r="C73" i="20" s="1"/>
  <c r="D73" i="20" s="1"/>
  <c r="C68" i="20"/>
  <c r="D68" i="20" s="1"/>
  <c r="C66" i="20"/>
  <c r="D66" i="20" s="1"/>
  <c r="B34" i="20"/>
  <c r="D58" i="18"/>
  <c r="D72" i="18" s="1"/>
  <c r="C72" i="18"/>
  <c r="C241" i="1"/>
  <c r="B251" i="1"/>
  <c r="C251" i="1" s="1"/>
  <c r="D251" i="1" s="1"/>
  <c r="C250" i="1"/>
  <c r="D250" i="1" s="1"/>
  <c r="C25" i="1"/>
  <c r="C55" i="1" s="1"/>
  <c r="C65" i="1" s="1"/>
  <c r="D26" i="1"/>
  <c r="D25" i="1" s="1"/>
  <c r="D55" i="1" s="1"/>
  <c r="D65" i="1" s="1"/>
  <c r="C893" i="21" l="1"/>
  <c r="D893" i="21" s="1"/>
  <c r="C247" i="21"/>
  <c r="D247" i="21" s="1"/>
  <c r="C9" i="30"/>
  <c r="I9" i="35"/>
  <c r="D26" i="30"/>
  <c r="F26" i="30" s="1"/>
  <c r="L27" i="35"/>
  <c r="N27" i="35" s="1"/>
  <c r="K27" i="35"/>
  <c r="E27" i="35"/>
  <c r="K8" i="35"/>
  <c r="K26" i="35"/>
  <c r="E26" i="35"/>
  <c r="K25" i="35"/>
  <c r="I25" i="35"/>
  <c r="C25" i="30"/>
  <c r="D25" i="30" s="1"/>
  <c r="F25" i="30" s="1"/>
  <c r="C72" i="20"/>
  <c r="D72" i="20" s="1"/>
  <c r="J7" i="35"/>
  <c r="B116" i="23"/>
  <c r="B118" i="23" s="1"/>
  <c r="D8" i="30"/>
  <c r="F8" i="30" s="1"/>
  <c r="D5" i="30"/>
  <c r="F5" i="30" s="1"/>
  <c r="L18" i="35"/>
  <c r="N18" i="35" s="1"/>
  <c r="B7" i="30"/>
  <c r="F7" i="35"/>
  <c r="L8" i="35"/>
  <c r="N8" i="35" s="1"/>
  <c r="L5" i="35"/>
  <c r="M1" i="35" s="1"/>
  <c r="D11" i="30"/>
  <c r="C50" i="23"/>
  <c r="C52" i="23" s="1"/>
  <c r="C61" i="23" s="1"/>
  <c r="C116" i="23" s="1"/>
  <c r="C118" i="23" s="1"/>
  <c r="D50" i="23"/>
  <c r="D52" i="23" s="1"/>
  <c r="D61" i="23" s="1"/>
  <c r="E4" i="35"/>
  <c r="L4" i="35"/>
  <c r="N4" i="35" s="1"/>
  <c r="B103" i="24"/>
  <c r="C103" i="24" s="1"/>
  <c r="D103" i="24" s="1"/>
  <c r="B380" i="24"/>
  <c r="C380" i="24" s="1"/>
  <c r="D380" i="24" s="1"/>
  <c r="C379" i="24"/>
  <c r="D379" i="24" s="1"/>
  <c r="B160" i="24"/>
  <c r="C161" i="24"/>
  <c r="D161" i="24" s="1"/>
  <c r="B408" i="24"/>
  <c r="C279" i="24"/>
  <c r="D279" i="24" s="1"/>
  <c r="B281" i="24"/>
  <c r="C281" i="24" s="1"/>
  <c r="D281" i="24" s="1"/>
  <c r="B404" i="24"/>
  <c r="D115" i="23"/>
  <c r="D108" i="23"/>
  <c r="C57" i="19"/>
  <c r="B64" i="19"/>
  <c r="B189" i="19" s="1"/>
  <c r="C86" i="21"/>
  <c r="D86" i="21" s="1"/>
  <c r="B103" i="21"/>
  <c r="B96" i="21"/>
  <c r="C96" i="21" s="1"/>
  <c r="D96" i="21" s="1"/>
  <c r="C1175" i="21"/>
  <c r="D1175" i="21" s="1"/>
  <c r="C1272" i="21"/>
  <c r="D1272" i="21" s="1"/>
  <c r="C522" i="21"/>
  <c r="D522" i="21" s="1"/>
  <c r="B531" i="21"/>
  <c r="C531" i="21" s="1"/>
  <c r="D531" i="21" s="1"/>
  <c r="B74" i="20"/>
  <c r="C74" i="20" s="1"/>
  <c r="D74" i="20" s="1"/>
  <c r="B43" i="20"/>
  <c r="B1177" i="21" l="1"/>
  <c r="B1275" i="21" s="1"/>
  <c r="C1275" i="21" s="1"/>
  <c r="D1275" i="21" s="1"/>
  <c r="I7" i="35"/>
  <c r="K7" i="35"/>
  <c r="C7" i="30"/>
  <c r="D7" i="30" s="1"/>
  <c r="F7" i="30" s="1"/>
  <c r="E7" i="35"/>
  <c r="L7" i="35"/>
  <c r="N7" i="35" s="1"/>
  <c r="N5" i="35"/>
  <c r="E11" i="35"/>
  <c r="L11" i="35"/>
  <c r="N11" i="35" s="1"/>
  <c r="D116" i="23"/>
  <c r="D118" i="23" s="1"/>
  <c r="J3" i="35"/>
  <c r="C408" i="24"/>
  <c r="B162" i="24"/>
  <c r="C162" i="24" s="1"/>
  <c r="D162" i="24" s="1"/>
  <c r="C160" i="24"/>
  <c r="D160" i="24" s="1"/>
  <c r="B407" i="24"/>
  <c r="C404" i="24"/>
  <c r="D404" i="24" s="1"/>
  <c r="B406" i="24"/>
  <c r="C406" i="24" s="1"/>
  <c r="D406" i="24" s="1"/>
  <c r="D57" i="19"/>
  <c r="D64" i="19" s="1"/>
  <c r="D189" i="19" s="1"/>
  <c r="C64" i="19"/>
  <c r="C189" i="19" s="1"/>
  <c r="C103" i="21"/>
  <c r="B105" i="21"/>
  <c r="B131" i="21"/>
  <c r="F9" i="35" l="1"/>
  <c r="B9" i="30"/>
  <c r="D9" i="30" s="1"/>
  <c r="F9" i="30" s="1"/>
  <c r="J32" i="35"/>
  <c r="C32" i="30" s="1"/>
  <c r="K3" i="35"/>
  <c r="C3" i="30"/>
  <c r="I3" i="35"/>
  <c r="C407" i="24"/>
  <c r="D407" i="24" s="1"/>
  <c r="F3" i="35"/>
  <c r="L3" i="35" s="1"/>
  <c r="B3" i="30"/>
  <c r="C409" i="24"/>
  <c r="D408" i="24"/>
  <c r="D409" i="24" s="1"/>
  <c r="B409" i="24"/>
  <c r="C131" i="21"/>
  <c r="D131" i="21" s="1"/>
  <c r="B133" i="21"/>
  <c r="D103" i="21"/>
  <c r="D105" i="21" s="1"/>
  <c r="C105" i="21"/>
  <c r="K9" i="35" l="1"/>
  <c r="L9" i="35"/>
  <c r="N9" i="35" s="1"/>
  <c r="E9" i="35"/>
  <c r="I32" i="35"/>
  <c r="B32" i="30"/>
  <c r="E3" i="35"/>
  <c r="E32" i="35" s="1"/>
  <c r="F32" i="35"/>
  <c r="C133" i="21"/>
  <c r="D133" i="21" s="1"/>
  <c r="B1274" i="21"/>
  <c r="K32" i="35" l="1"/>
  <c r="K37" i="35" s="1"/>
  <c r="F37" i="35"/>
  <c r="D3" i="30"/>
  <c r="D32" i="30" s="1"/>
  <c r="N3" i="35"/>
  <c r="L32" i="35"/>
  <c r="B1277" i="21"/>
  <c r="C1277" i="21" s="1"/>
  <c r="D1277" i="21" s="1"/>
  <c r="C1274" i="21"/>
  <c r="D1274" i="21" s="1"/>
  <c r="B33" i="30" l="1"/>
  <c r="E35" i="30"/>
  <c r="F32" i="30"/>
  <c r="B40" i="35"/>
  <c r="B41" i="35" s="1"/>
  <c r="K35" i="35"/>
  <c r="B33" i="35"/>
  <c r="H33" i="35"/>
  <c r="F33" i="35"/>
  <c r="E33" i="35"/>
  <c r="C33" i="35"/>
  <c r="G33" i="35"/>
  <c r="D33" i="35"/>
  <c r="J33" i="35"/>
  <c r="F44" i="28"/>
  <c r="F45" i="28" s="1"/>
  <c r="F48" i="28" s="1"/>
  <c r="D33" i="30"/>
  <c r="C33" i="30"/>
  <c r="B37" i="35"/>
  <c r="L33" i="35"/>
  <c r="N33" i="35" s="1"/>
  <c r="N32" i="35"/>
</calcChain>
</file>

<file path=xl/comments1.xml><?xml version="1.0" encoding="utf-8"?>
<comments xmlns="http://schemas.openxmlformats.org/spreadsheetml/2006/main">
  <authors>
    <author>tc={A321011C-5214-4B89-843E-3153BE307148}</author>
  </authors>
  <commentList>
    <comment ref="B31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Pension 150n</t>
        </r>
      </text>
    </comment>
  </commentList>
</comments>
</file>

<file path=xl/comments2.xml><?xml version="1.0" encoding="utf-8"?>
<comments xmlns="http://schemas.openxmlformats.org/spreadsheetml/2006/main">
  <authors>
    <author>lenovo</author>
    <author>USER</author>
  </authors>
  <commentList>
    <comment ref="B98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PLANTING AND TOP DRESSING FERTILIZER</t>
        </r>
      </text>
    </comment>
    <comment ref="B374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Mbakalo slaughterhouse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724" authorId="0">
      <text/>
    </comment>
    <comment ref="B725" authorId="0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B727" authorId="0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30000 per month by 12
</t>
        </r>
      </text>
    </comment>
    <comment ref="B728" authorId="0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10000by 12months
</t>
        </r>
      </text>
    </comment>
    <comment ref="B731" authorId="0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10000per week by 52weeks
</t>
        </r>
      </text>
    </comment>
    <comment ref="B732" authorId="0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15 person by 11200 perdiem 3days
</t>
        </r>
      </text>
    </comment>
    <comment ref="B749" authorId="0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cater for meeting
</t>
        </r>
      </text>
    </comment>
  </commentList>
</comments>
</file>

<file path=xl/comments4.xml><?xml version="1.0" encoding="utf-8"?>
<comments xmlns="http://schemas.openxmlformats.org/spreadsheetml/2006/main">
  <authors>
    <author>Julia</author>
  </authors>
  <commentList>
    <comment ref="A97" authorId="0">
      <text>
        <r>
          <rPr>
            <b/>
            <sz val="9"/>
            <color indexed="81"/>
            <rFont val="Tahoma"/>
            <family val="2"/>
          </rPr>
          <t>Julia:</t>
        </r>
        <r>
          <rPr>
            <sz val="9"/>
            <color indexed="81"/>
            <rFont val="Tahoma"/>
            <family val="2"/>
          </rPr>
          <t xml:space="preserve">
Public Address</t>
        </r>
      </text>
    </comment>
  </commentList>
</comments>
</file>

<file path=xl/connections.xml><?xml version="1.0" encoding="utf-8"?>
<connections xmlns="http://schemas.openxmlformats.org/spreadsheetml/2006/main">
  <connection id="1" keepAlive="1" name="Query - Query1 (2)" description="Connection to the 'Query1 (2)' query in the workbook." type="5" refreshedVersion="8" background="1" saveData="1">
    <dbPr connection="Provider=Microsoft.Mashup.OleDb.1;Data Source=$Workbook$;Location=&quot;Query1 (2)&quot;;Extended Properties=&quot;&quot;" command="SELECT * FROM [Query1 (2)]"/>
  </connection>
</connections>
</file>

<file path=xl/sharedStrings.xml><?xml version="1.0" encoding="utf-8"?>
<sst xmlns="http://schemas.openxmlformats.org/spreadsheetml/2006/main" count="4071" uniqueCount="1210">
  <si>
    <t>CODE</t>
  </si>
  <si>
    <t xml:space="preserve">Travel Costs (airlines, bus, railway, mileage allowances, etc.) </t>
  </si>
  <si>
    <t>Supplier credit</t>
  </si>
  <si>
    <t>TOTAL RECURRENT</t>
  </si>
  <si>
    <t>DEVELOPMENT EXPENDITURE</t>
  </si>
  <si>
    <t>TOTAL DEVELOPMENT</t>
  </si>
  <si>
    <t>TOTAL</t>
  </si>
  <si>
    <t>ESTIMATES  2026/27</t>
  </si>
  <si>
    <t>ESTIMATES  2027/28</t>
  </si>
  <si>
    <t>ESTIMATES  2028/29</t>
  </si>
  <si>
    <t>BUNGOMA MUNICIPALITY</t>
  </si>
  <si>
    <t>ESTIMATES FOR FY 2026/2027</t>
  </si>
  <si>
    <t>ESTIMATES FOR FY 2027/2028</t>
  </si>
  <si>
    <t>ESTIMATES FOR FY 2028/2029</t>
  </si>
  <si>
    <t>RECURRENT EXPENDITURE</t>
  </si>
  <si>
    <t xml:space="preserve">2110100 Basic Salary- Permanent Employees </t>
  </si>
  <si>
    <t>2110101 Basic Salary Civil Services</t>
  </si>
  <si>
    <t>210202 Casual Labour - Others</t>
  </si>
  <si>
    <t>2110400 Personal Allowance Paid as Reimbusement</t>
  </si>
  <si>
    <t>2110402 Refund medical expenses-In patient</t>
  </si>
  <si>
    <t>2110403Refund medical expenses-Ex Gratia</t>
  </si>
  <si>
    <t>2110404Leave expenses</t>
  </si>
  <si>
    <t>2120100 Empoloyer Contribution toCompulsory National</t>
  </si>
  <si>
    <t>2120101 Empoloyer Contribution to Compulsory National social security</t>
  </si>
  <si>
    <t>2120102 Employer Contribution to National Housing levy fund</t>
  </si>
  <si>
    <t>2120103Employer Contribution to staff pension scheme</t>
  </si>
  <si>
    <t>2710100Government Pension and Retirement Benefits</t>
  </si>
  <si>
    <t>2710102Gratuity and Honorarium</t>
  </si>
  <si>
    <t>2710105Gratuity - Ministers</t>
  </si>
  <si>
    <t>2210100Utilities Supplies and Services</t>
  </si>
  <si>
    <t>2210101Electricity Expenses</t>
  </si>
  <si>
    <t>2210102Water and Sewerage charges</t>
  </si>
  <si>
    <t>2210200Communication Supplies and Services</t>
  </si>
  <si>
    <t>2210201Telephone,Telex, Facsmile and Internet</t>
  </si>
  <si>
    <t>2210202 Internet</t>
  </si>
  <si>
    <t>2210203Courier and Postal Services</t>
  </si>
  <si>
    <t>2210300Domestic Travel and Subsistence, and Other Transportation Costs</t>
  </si>
  <si>
    <t>2210301Travel Costs (Airlines, Bus, Railway)</t>
  </si>
  <si>
    <t>2210303Daily Subsistance Allowances and Accomodation</t>
  </si>
  <si>
    <t>2210309Field Allowance</t>
  </si>
  <si>
    <t>2210310Field Operational Allowance</t>
  </si>
  <si>
    <t xml:space="preserve">2210403Daily Subsistence Allowance </t>
  </si>
  <si>
    <t>2210500Printing, Advertising and Information Supplies and Services</t>
  </si>
  <si>
    <t>2210503Subscription to Newspapers</t>
  </si>
  <si>
    <t>2210502Publishing and Printing Services</t>
  </si>
  <si>
    <t>2210504Advertising, Awareness and Publicity Campaigns</t>
  </si>
  <si>
    <t>2210505Trade Shows and Exhibitions</t>
  </si>
  <si>
    <t xml:space="preserve">2210700Training Expenses </t>
  </si>
  <si>
    <t>2210711Tuition / Training fees</t>
  </si>
  <si>
    <t>2210800Hospitality Supplies and Services</t>
  </si>
  <si>
    <t>2210801Catering Services (receptions), Accomodation, Foods and Drinks</t>
  </si>
  <si>
    <t>2210802Committees, Boards, Seminars and Conferences</t>
  </si>
  <si>
    <t>Insurance Costs</t>
  </si>
  <si>
    <t>2210901Workmans Compensation</t>
  </si>
  <si>
    <t>2210904Motor Vehicle Insurance</t>
  </si>
  <si>
    <t>2211100Office and General Supplies and Services</t>
  </si>
  <si>
    <t>2211101General Office Supplies (Paper</t>
  </si>
  <si>
    <t>2211103Sanitary and Cleaning Materials, Supplies and Services</t>
  </si>
  <si>
    <t>2211200Fuel Oil and Lubricants</t>
  </si>
  <si>
    <t>2211201Refined Fuels &amp; Lubricants</t>
  </si>
  <si>
    <t>2211300Other Operating Expenses</t>
  </si>
  <si>
    <t>2211306Membership Fees, Dues and Subscriptions to Professional and Trade Bodies</t>
  </si>
  <si>
    <t xml:space="preserve">2211308Legal Dues/Fees, Arbitration and Compensation Payments </t>
  </si>
  <si>
    <t>Contracted Professional and Technical Services</t>
  </si>
  <si>
    <t>2220100Routine Maintenance - Vehicles and Other Transport Equipment</t>
  </si>
  <si>
    <t>2220101Maintenance Expenses - Motor Vehicles</t>
  </si>
  <si>
    <t>2220202Maintenance of Office Furniture and Equipment</t>
  </si>
  <si>
    <t>2220210Maintenance of Computers, Software, and Networks</t>
  </si>
  <si>
    <t>3111001Purchase of Office Furniture and General Equipment</t>
  </si>
  <si>
    <t>3111001Purchase of Office Furniture and Fittings</t>
  </si>
  <si>
    <t>3111002Purchase of Computers, Printers and other IT Equipment</t>
  </si>
  <si>
    <t>2640503Other Capital Grants - UIG</t>
  </si>
  <si>
    <t>TOTAL FOR RECURRENT</t>
  </si>
  <si>
    <t>AIA</t>
  </si>
  <si>
    <t>NET RECURRENT</t>
  </si>
  <si>
    <t>3110504Other infrastructure and civil works</t>
  </si>
  <si>
    <t>3110605Overhaul of Other Infrastructure and Civil Works</t>
  </si>
  <si>
    <t>TOTAL FOR DEVELOPMENT</t>
  </si>
  <si>
    <t>Grant Total</t>
  </si>
  <si>
    <t>HOUSING</t>
  </si>
  <si>
    <t>2110100Basic salary</t>
  </si>
  <si>
    <t>2110101Basic Salaries - Civil Service</t>
  </si>
  <si>
    <t>2210101Electricity</t>
  </si>
  <si>
    <t>2210102Water and sewerage charges</t>
  </si>
  <si>
    <t xml:space="preserve">2210201Telephone, Telex, Facsimile and Mobile Phone Services </t>
  </si>
  <si>
    <t>2210202Internet Connections</t>
  </si>
  <si>
    <t xml:space="preserve">2210301Travel Costs (airlines, bus, railway, mileage allowances, etc.) </t>
  </si>
  <si>
    <t>2210302Accommodation - Domestic Travel</t>
  </si>
  <si>
    <t xml:space="preserve">2210303Daily Subsistence Allowance </t>
  </si>
  <si>
    <t>2210400Foreign Travel and Subsistence, and other transportation costs</t>
  </si>
  <si>
    <t>2210401Travel Costs (airlines, bus, railway, etc.)</t>
  </si>
  <si>
    <t>2210500Printing , Advertising and Information Supplies and Services</t>
  </si>
  <si>
    <t>2210502Printing , Advertising and Information Supplies and Services</t>
  </si>
  <si>
    <t>2210710Accommodation Allowance</t>
  </si>
  <si>
    <t>2210711Tuition Fees</t>
  </si>
  <si>
    <t>2210801Catering Services</t>
  </si>
  <si>
    <t>2210802Boards &amp; Committees</t>
  </si>
  <si>
    <t>2210900Plant Insurance</t>
  </si>
  <si>
    <t>2210903Plant, Equipment and Machinery Insurance</t>
  </si>
  <si>
    <t xml:space="preserve">2211101General Office Supplies </t>
  </si>
  <si>
    <t>2211102Supplies and accessories for computers and printers</t>
  </si>
  <si>
    <t>2211103Sanitary and Cleaning Materials</t>
  </si>
  <si>
    <t>2211201Refined Fuels and Lubricants for Transport</t>
  </si>
  <si>
    <t>2211305Contracted Guards and Cleaning Services</t>
  </si>
  <si>
    <t>2211306Professional Membership Fees</t>
  </si>
  <si>
    <t>2211310Contracted Professional &amp; Technical Services</t>
  </si>
  <si>
    <t xml:space="preserve"> </t>
  </si>
  <si>
    <t>2211320Temporary expenses</t>
  </si>
  <si>
    <t>2210104Supplier credit</t>
  </si>
  <si>
    <t>2210904Motor Vehicle Insuarance</t>
  </si>
  <si>
    <t>2640503KUSP Grant</t>
  </si>
  <si>
    <t>2640503KISIIP Co funding</t>
  </si>
  <si>
    <t>2220200Routine Maintenance - Other Assets</t>
  </si>
  <si>
    <t>2220201Maintenance of Plant, Machinery and Equipment (including lifts)</t>
  </si>
  <si>
    <t>2220204Maintainance of residential houses</t>
  </si>
  <si>
    <t>3111000Purchase of Office Furniture and General Equipment</t>
  </si>
  <si>
    <t>3111002Purchase of Computers, laptopsPrinters and other IT Equipment</t>
  </si>
  <si>
    <t>2640503other capital grant</t>
  </si>
  <si>
    <t>3111504other infrastructure and civil works</t>
  </si>
  <si>
    <t>3110604other infrastructure and civil works</t>
  </si>
  <si>
    <t>3110201Residential Buildings</t>
  </si>
  <si>
    <t>PROPOSED ESTIMATES FY 2026/27</t>
  </si>
  <si>
    <t>PROJECTED ESTIMATES FY 2027/28</t>
  </si>
  <si>
    <t>PROJECTED ESTIMATES FY 2028/29</t>
  </si>
  <si>
    <t>2110100Basic Salaries - Civil Service</t>
  </si>
  <si>
    <t>2210101'Electricity</t>
  </si>
  <si>
    <t>2210200Communication, Supplies and Services</t>
  </si>
  <si>
    <t>2210201Telephone, Telex, Facsimile and Mobile Phone Services</t>
  </si>
  <si>
    <t>2210301Travel Costs (airlines, bus, railway, mileage allowances, etc.)</t>
  </si>
  <si>
    <t>2210303Daily Subsistence Allowance</t>
  </si>
  <si>
    <t>2210500'Printing , Advertising and Information Supplies and Services</t>
  </si>
  <si>
    <t>2210502'Publishing and Printing Services</t>
  </si>
  <si>
    <t>2210700'Training Expenses</t>
  </si>
  <si>
    <t>2210801Catering Services (receptions), Accommodation, Gifts, Food and Drinks</t>
  </si>
  <si>
    <t>2210802Boards, Committees, Conferences and Seminars</t>
  </si>
  <si>
    <t>2210900Insurance Costs</t>
  </si>
  <si>
    <t>2211000'Specialised Materials and Supplies</t>
  </si>
  <si>
    <t>2211004Fungicides, Insecticides and Sprays</t>
  </si>
  <si>
    <t>2211016Purchase of Uniform and Clothing-staff</t>
  </si>
  <si>
    <t>2211100Office supplies</t>
  </si>
  <si>
    <t>2211101General Office Supplies (papers, pencils, forms, small office equipment</t>
  </si>
  <si>
    <t>2410104Supplier of credit</t>
  </si>
  <si>
    <t>2220205Maintenance of Buildings and Stations -- Non-Residential</t>
  </si>
  <si>
    <t>2220210Maintenance of Computers ,Software and Networks</t>
  </si>
  <si>
    <t>2640500Other Capital Grants and Transfers</t>
  </si>
  <si>
    <t>3110700'Purchase of Vehicles and Other Transport Equipment</t>
  </si>
  <si>
    <t>3110701Purchase of Vehicles and Other Transport Equipment</t>
  </si>
  <si>
    <t>3111001Purchase of office furniture</t>
  </si>
  <si>
    <t>3111002Purchase of computers,Printers and IT Equipment</t>
  </si>
  <si>
    <t>3111400Research, Feasibility Studies, Project Preparation and Design, Project S</t>
  </si>
  <si>
    <t>3111403Pre-feasibility, Feasibility and Appraisal Studies</t>
  </si>
  <si>
    <t xml:space="preserve">  Research</t>
  </si>
  <si>
    <t xml:space="preserve"> Gross Expenditure..................... KShs.</t>
  </si>
  <si>
    <t>DEVELOPMENT</t>
  </si>
  <si>
    <t>2640503Other Capital Grants and Transfers</t>
  </si>
  <si>
    <t>3110500Construction and Civil Works</t>
  </si>
  <si>
    <t>3110504Other Infrastructure and Civil Works</t>
  </si>
  <si>
    <t xml:space="preserve">3110599Pending bills </t>
  </si>
  <si>
    <t xml:space="preserve"> Gross Development Expenditure................... KShs.</t>
  </si>
  <si>
    <t xml:space="preserve"> Grand Total Expenditure</t>
  </si>
  <si>
    <t>ITEM DESCRIPTION</t>
  </si>
  <si>
    <t>ESTIMATES FOR 2026/27 FY</t>
  </si>
  <si>
    <t>PROJECTED ESTIMATES FOR 2027/28 FY</t>
  </si>
  <si>
    <t>PROJECTED ESTIMATES FOR 2028/29 FY</t>
  </si>
  <si>
    <t>2210102Water and Sewerage Charges</t>
  </si>
  <si>
    <t>2210503Subscriptions to Newspapers, Magazines and Periodicals</t>
  </si>
  <si>
    <t xml:space="preserve">2210801Catering Services </t>
  </si>
  <si>
    <t>2211102Supplies and Accessories for Computers and Printers</t>
  </si>
  <si>
    <t>2410104Supplier Credit</t>
  </si>
  <si>
    <t>3111400Research, Feasiblity Studies</t>
  </si>
  <si>
    <t>3111401Pre-Feasibility, Feasibility and Appraisal Studies</t>
  </si>
  <si>
    <t>3111402Engineering Designs and Plans</t>
  </si>
  <si>
    <t>3111403Research</t>
  </si>
  <si>
    <t>A.I.A</t>
  </si>
  <si>
    <t xml:space="preserve">3110302Non-Residential Buildings </t>
  </si>
  <si>
    <t>3110501Bridges</t>
  </si>
  <si>
    <t>3110504Other Infrastructure and Civil Works - Framework</t>
  </si>
  <si>
    <t>3110599Ward Based Projects</t>
  </si>
  <si>
    <t>3110601Overhaul of Roads</t>
  </si>
  <si>
    <t>3110604Overhaul of Other Infrastructure and Civil Works</t>
  </si>
  <si>
    <t>3111120Purchase of Specialzed Plant</t>
  </si>
  <si>
    <t>3110499Construction of Roads - Others</t>
  </si>
  <si>
    <t>2640503Capital Grants</t>
  </si>
  <si>
    <t>GROSS EXPENDITURE</t>
  </si>
  <si>
    <t>TITLE</t>
  </si>
  <si>
    <t>PROPOSED ESTIMATES- 2026/2027</t>
  </si>
  <si>
    <t>Projected Estimates</t>
  </si>
  <si>
    <t>2027/2028</t>
  </si>
  <si>
    <t>2028/2029</t>
  </si>
  <si>
    <t>2210100 Utilities Supplies and Services</t>
  </si>
  <si>
    <t>2210101 Electricity</t>
  </si>
  <si>
    <t>2210300 Domestic Travel and Subsistence, and Other Transportation Costs</t>
  </si>
  <si>
    <t>2210301 Travel Costs (airlines, bus, railway, mileage allowances, etc.)</t>
  </si>
  <si>
    <t>2210302 Accommodation - Domestic Travel</t>
  </si>
  <si>
    <t>2210303 Daily Subsistence Allowance</t>
  </si>
  <si>
    <t>2210500 Printing , Advertising and Information Supplies and Services</t>
  </si>
  <si>
    <t>2210504 Advertising, Awareness and Publicity Campaigns</t>
  </si>
  <si>
    <t>2210700 Training</t>
  </si>
  <si>
    <t>2210710 Accommodation allowance</t>
  </si>
  <si>
    <t>2210711 Tuition fee</t>
  </si>
  <si>
    <t>2210800 Hospitality Supplies and Services</t>
  </si>
  <si>
    <t>2210801 Catering Services (receptions), Accommodation, Gifts, Food and Drinks</t>
  </si>
  <si>
    <t>2210802 Boards, Committees, Conferences and Seminars</t>
  </si>
  <si>
    <t>2210900 Insurance Costs</t>
  </si>
  <si>
    <t>2210999 Insurance Costs - Other (Budge</t>
  </si>
  <si>
    <t>2211100 Office and General Supplies and Services</t>
  </si>
  <si>
    <t>2211101 General Office Supplies (papers, pencils, forms, small office equipment</t>
  </si>
  <si>
    <t>2211103 Sanitary and Cleaning Materials, Supplies and Services</t>
  </si>
  <si>
    <t>2211200 Fuel Oil and Lubricants</t>
  </si>
  <si>
    <t>2211201 Refined Fuels and Lubricants for Transport</t>
  </si>
  <si>
    <t>2211300 Other Operating Expenses</t>
  </si>
  <si>
    <t>2211306 Membership Fees, Dues and Subscriptions to Professional and Trade Bodies</t>
  </si>
  <si>
    <t>2220100 Routine Maintenance - Vehicles and Other Transport Equipment</t>
  </si>
  <si>
    <t>2220101 Maintenance Expenses - Motor Vehicles</t>
  </si>
  <si>
    <t>2640500 Capital Grants and Transfers</t>
  </si>
  <si>
    <t>2640503 Other Capital Grants and Transfers</t>
  </si>
  <si>
    <t>2640504 Supply of Learning materials-Digital literacy</t>
  </si>
  <si>
    <t>2640100 School Feeding program and other Educational Benefits</t>
  </si>
  <si>
    <t>2640101 Feeding programme</t>
  </si>
  <si>
    <t>Gross Recurrent Expenditure..................... KShs.</t>
  </si>
  <si>
    <t>DEVELOPMENT BUDGET</t>
  </si>
  <si>
    <t xml:space="preserve">
Estimates 2026/2027</t>
  </si>
  <si>
    <t>2410104 Supplier credit</t>
  </si>
  <si>
    <t>3110500 Construction and Civil Works</t>
  </si>
  <si>
    <t>3110504 Other Infrastructure and Civil Works</t>
  </si>
  <si>
    <t>3110599 Other Infrastructure and Civil Works-CEF Projects.</t>
  </si>
  <si>
    <t xml:space="preserve">  Gross Expenditure Development................... KShs.</t>
  </si>
  <si>
    <t xml:space="preserve">  Gross Expenditure Education................... KShs.</t>
  </si>
  <si>
    <t>VOCATIONAL TRAINING CENTRES</t>
  </si>
  <si>
    <t>_x000D_
Estimates 2025/2026</t>
  </si>
  <si>
    <t>2026/2027</t>
  </si>
  <si>
    <t>2210302 Accomodation Domestic Travel</t>
  </si>
  <si>
    <t>2210310 Field Operational Allowance</t>
  </si>
  <si>
    <t>2210502 Publishing and Printing Services</t>
  </si>
  <si>
    <t xml:space="preserve">2210700 Training </t>
  </si>
  <si>
    <t>2210711 Tuition fees</t>
  </si>
  <si>
    <t>Gross Expenditure..................... KShs.</t>
  </si>
  <si>
    <t>3110505 Refurbishment and rennovations</t>
  </si>
  <si>
    <t>3110599 equippng of VTC</t>
  </si>
  <si>
    <t>Gross Development Expenditure................... KShs.</t>
  </si>
  <si>
    <t>Grand Total Expenditure VTC</t>
  </si>
  <si>
    <t>Grand Total Expenditure Education &amp; VTC</t>
  </si>
  <si>
    <t>VOTE R4920000000 FINANCE AND PLANNING</t>
  </si>
  <si>
    <t>II. Heads and Items under which this Vote will be accounted for by the 4920000000 FINANCE AND PLANNING</t>
  </si>
  <si>
    <t>FINANCIAL YEAR 2025/2026</t>
  </si>
  <si>
    <t>HEAD</t>
  </si>
  <si>
    <t>Proposed Estimates 2026/2027</t>
  </si>
  <si>
    <t>Projections  2027/2028</t>
  </si>
  <si>
    <t>Kshs.</t>
  </si>
  <si>
    <t>4920000101 Finance</t>
  </si>
  <si>
    <t>2210102 Water and sewerage charges</t>
  </si>
  <si>
    <t>2210200 Communication, Supplies and Services</t>
  </si>
  <si>
    <t>2210202 Internet Connections</t>
  </si>
  <si>
    <t>2210203 Courier and Postal Services</t>
  </si>
  <si>
    <t>2210309 Field Allowance</t>
  </si>
  <si>
    <t>2210503 Subscriptions to Newspapers, Magazines and Periodicals</t>
  </si>
  <si>
    <t>2210600 Rentals of Produced Assets</t>
  </si>
  <si>
    <t>2210603 Rents and Rates - Non-Residential</t>
  </si>
  <si>
    <t>2210700 Training Expenses</t>
  </si>
  <si>
    <t>2210701 Travel Allowance</t>
  </si>
  <si>
    <t>2210710 Accommodation Allowance</t>
  </si>
  <si>
    <t>2210711 Tuition Fees</t>
  </si>
  <si>
    <t>2210904 Motor Vehicle Insurance</t>
  </si>
  <si>
    <t>2211102 Supplies and Accessories for Computers and Printers</t>
  </si>
  <si>
    <t>2211311 Contracted Technical Services</t>
  </si>
  <si>
    <t>2211320 Temporary Committees Expenses</t>
  </si>
  <si>
    <t>2211399 Other Operating Expenses - Oth</t>
  </si>
  <si>
    <t>2220200 Routine Maintenance - Other Assets</t>
  </si>
  <si>
    <t>2220205 Maintenance of Buildings and Stations -- Non-Residential</t>
  </si>
  <si>
    <t>2220210 Maintenance of Computers, Software, and Networks</t>
  </si>
  <si>
    <t>3111000 Purchase of Office Furniture and General Equipment</t>
  </si>
  <si>
    <t>3111111 Purchase of ICT networking and Communications Equipment</t>
  </si>
  <si>
    <t>3111002 Purchase of Computers, Printers and other IT Equipment</t>
  </si>
  <si>
    <t>Net Expenditure..................... KShs.</t>
  </si>
  <si>
    <t>4920000100 Finance</t>
  </si>
  <si>
    <t xml:space="preserve"> Economic Planning</t>
  </si>
  <si>
    <t>Economic Planning</t>
  </si>
  <si>
    <t>4920000201 Planning</t>
  </si>
  <si>
    <t>2210201 Telephone, Telex, Facsimile and Mobile Phone Services</t>
  </si>
  <si>
    <t>4920000200 Planning</t>
  </si>
  <si>
    <t>4920000301 Accounts</t>
  </si>
  <si>
    <t>3111001 Purchase of Office Furniture and Fittings</t>
  </si>
  <si>
    <t>4920000300 Accounts</t>
  </si>
  <si>
    <t>4920000401 Procurement</t>
  </si>
  <si>
    <t>4920000400 Procurement</t>
  </si>
  <si>
    <t>4920000501 Auditing</t>
  </si>
  <si>
    <t>2220202 Maintenance of office furniture and equipment</t>
  </si>
  <si>
    <t>4920000500 Auditing</t>
  </si>
  <si>
    <t>4920000601 Revenue</t>
  </si>
  <si>
    <t>2210705 Field Training Attachments</t>
  </si>
  <si>
    <t>2211000 Specialised Materials and Supplies</t>
  </si>
  <si>
    <t>2211016 Purchase of Uniforms and Clothing - Staff</t>
  </si>
  <si>
    <t>4920000600 Revenue</t>
  </si>
  <si>
    <t>4920000801 Budget</t>
  </si>
  <si>
    <t>2210702 Remuneration of Instructors and Contract Based Training Services</t>
  </si>
  <si>
    <t>2210704 Hire of Training Facilities and Equipment</t>
  </si>
  <si>
    <t>4920000800 Budget</t>
  </si>
  <si>
    <t>4920000901 Monitoring &amp; Evaluation</t>
  </si>
  <si>
    <t>4920000900 Monitoring &amp; Evaluation (M &amp; E)</t>
  </si>
  <si>
    <t>4920001001 Special Coordination Unit</t>
  </si>
  <si>
    <t>3110700 Purchase of Vehicles and Other Transport Equipment</t>
  </si>
  <si>
    <t>3110701 Purchase of Motor Vehicles</t>
  </si>
  <si>
    <t>4920001000 Special Coordination Unit</t>
  </si>
  <si>
    <t>4920001201 Statistics</t>
  </si>
  <si>
    <t>4920001200 Statistics</t>
  </si>
  <si>
    <t>4920001301 Public Participation</t>
  </si>
  <si>
    <t>4920001300 Public Participation</t>
  </si>
  <si>
    <t>TOTAL NET EXPENDITURE FOR VOTE R4920000000 FINANCE AND PLANNING</t>
  </si>
  <si>
    <t>VOTE 4920000000 FINANCE AND PLANNING</t>
  </si>
  <si>
    <t>II. DEVELOPMENT EXPENDITURE SUMMARY 2025/2026 AND PROJECTED EXPENDITURE ESTIMATES FOR 2026/2027 - 2027/2028</t>
  </si>
  <si>
    <t>Projections 2028/2029</t>
  </si>
  <si>
    <t>2640500 Other Capital Grants and Transfers</t>
  </si>
  <si>
    <t>2810200 Civil Contingency Reserves</t>
  </si>
  <si>
    <t>2810205 Emergency Fund</t>
  </si>
  <si>
    <t>3110599 Other Infrastructure and Civil Works</t>
  </si>
  <si>
    <t>3111100 Purchase of Specialised Plant, Equipment and Machinery</t>
  </si>
  <si>
    <t xml:space="preserve">  Gross Expenditure................... KShs.</t>
  </si>
  <si>
    <t xml:space="preserve">    NET EXPENDITURE        KShs.</t>
  </si>
  <si>
    <t>TOTAL NET EXPENDITURE FOR VOTE 4920000000 FINANCE AND PLANNING           Kshs.</t>
  </si>
  <si>
    <t>Grand total</t>
  </si>
  <si>
    <t>PUBLIC SERVICE BOARD</t>
  </si>
  <si>
    <t>Economic Item</t>
  </si>
  <si>
    <t>PROJECTIONS FOR FY 2027/2028</t>
  </si>
  <si>
    <t>PROJECTIONS FOR FY 2028/2029</t>
  </si>
  <si>
    <t>2210200 Communication Supplies and Services</t>
  </si>
  <si>
    <t>2210201Internet Connections</t>
  </si>
  <si>
    <t>2210203courier and postal services</t>
  </si>
  <si>
    <t xml:space="preserve">2210303 Daily Subsistence Allowance </t>
  </si>
  <si>
    <t>2210505 Trade Shows and Exhibitions</t>
  </si>
  <si>
    <t xml:space="preserve">2210700 Training Expenses </t>
  </si>
  <si>
    <t xml:space="preserve">2210801 Catering Services (receptions), Accommodation, Gifts, Food and Drinks </t>
  </si>
  <si>
    <t>2210900 Insurance Cost</t>
  </si>
  <si>
    <t>2210902 Insurance Costs -Other(budge</t>
  </si>
  <si>
    <t xml:space="preserve">2211101 General Office Supplies (papers, pencils, forms, small office equipment etc) </t>
  </si>
  <si>
    <t xml:space="preserve">L2211308 Legal Dues/fees, Arbitration and Compensation Payments </t>
  </si>
  <si>
    <t>3111002 Purchase of Computers, Software, and Networks</t>
  </si>
  <si>
    <t>3111009 Purchace of other office equipment</t>
  </si>
  <si>
    <t>2220202 Maintenance of Office Furniture and Equipment</t>
  </si>
  <si>
    <t xml:space="preserve">31110504 Other infrastructure and civil works </t>
  </si>
  <si>
    <t>TOTAL BUDGET</t>
  </si>
  <si>
    <t>TOURISM AND ENVIRONMENT</t>
  </si>
  <si>
    <t>PROPOSED ESTIMATES FOR FY 2026/2027</t>
  </si>
  <si>
    <t>PROJECTION FY 2027/2028</t>
  </si>
  <si>
    <t>PROJECTION FOR FY 2028/2029</t>
  </si>
  <si>
    <t>2210805National Celebrations</t>
  </si>
  <si>
    <t>2210904Motor vehicle insurance</t>
  </si>
  <si>
    <t>2410104Supplier credit</t>
  </si>
  <si>
    <t>2220202Maintenance of office furniture and equipment</t>
  </si>
  <si>
    <t>2220205Maintenance of Buildings and stations non-residential</t>
  </si>
  <si>
    <t>2211102Supplies and Accessories for computers and printers</t>
  </si>
  <si>
    <t>Maintenance of computers, software and networks</t>
  </si>
  <si>
    <t>2640000Other Transfers</t>
  </si>
  <si>
    <t>2640400Other current transfers, Grants(CCIS) Institutional support</t>
  </si>
  <si>
    <t>2640499Other current transfers-other (CCCU budget)</t>
  </si>
  <si>
    <t>3111002Purchase of Computers</t>
  </si>
  <si>
    <t>3111401Pre-feasibility, Feasibility and Appraisal Studies</t>
  </si>
  <si>
    <t>2640503Other capital Grants and Transfers(climate change co funding)</t>
  </si>
  <si>
    <t>2640599Other capital Grants and Transfers(climate change grant)</t>
  </si>
  <si>
    <t>3111401Feasibility and Appraisal studies</t>
  </si>
  <si>
    <t>3110599Other infrastructure and civil works</t>
  </si>
  <si>
    <t>Gross Expenditure</t>
  </si>
  <si>
    <t>WATER AND NATURAL RESOURCES</t>
  </si>
  <si>
    <t>PROPOSED ESTIMATES FOR FY 2024/2025</t>
  </si>
  <si>
    <t>PROJECTION FOR FY 2026/2027</t>
  </si>
  <si>
    <t>PROJECTION ESTIMATES FOR FY 2027/2028</t>
  </si>
  <si>
    <t>2210701Travel Allowance</t>
  </si>
  <si>
    <t>2210805National celebrations</t>
  </si>
  <si>
    <t xml:space="preserve">2220206maintenance of civil works </t>
  </si>
  <si>
    <t>3111400Prefeasibility and appraisal</t>
  </si>
  <si>
    <t>3111401Prefeasibility and appraisal(KOICA FUNDING)</t>
  </si>
  <si>
    <t>3111499Research, Feasibility studies</t>
  </si>
  <si>
    <t>3111402Engineering and Design plans</t>
  </si>
  <si>
    <t>Development</t>
  </si>
  <si>
    <t>2211006Purchase of workshop tools,spares and small equipments(drilling tools and accessories,borehole casing)</t>
  </si>
  <si>
    <t>Local revenue</t>
  </si>
  <si>
    <t>Net Expenditure</t>
  </si>
  <si>
    <t>VOTE R4917000300  GENDER AND CULTURE.</t>
  </si>
  <si>
    <r>
      <t>I</t>
    </r>
    <r>
      <rPr>
        <b/>
        <sz val="11"/>
        <color theme="1"/>
        <rFont val="Aptos Narrow"/>
        <family val="2"/>
      </rPr>
      <t>I RECURRENT EXPENDITURE SUMMARY 2026/27 AND PROJECTED EXPENDITURE SUMMARY FOR 2026/2027  - 2027/2028</t>
    </r>
  </si>
  <si>
    <t>II. Heads and Items under which this Vote will be accounted for by the 4917000300            GENDER AND CULTURE.</t>
  </si>
  <si>
    <t>FINANCIAL YEAR 2026/2027</t>
  </si>
  <si>
    <t>Proposed  Estimates FY 2026/27</t>
  </si>
  <si>
    <t>Projected Estimates FY 2027/28</t>
  </si>
  <si>
    <t>Projected Estimates FY 2028/29</t>
  </si>
  <si>
    <t>4917000301 Gender and Culture</t>
  </si>
  <si>
    <t>2210400 Foreign Travel and Subsistance, and Other Transportation Costs</t>
  </si>
  <si>
    <t>2210403 Foreign Daily Subsistance Allowance</t>
  </si>
  <si>
    <t>2210502 Printing and Publishing</t>
  </si>
  <si>
    <t>2210714 Gender Mainstreaming</t>
  </si>
  <si>
    <t>2210805 National Celebrations</t>
  </si>
  <si>
    <t>2410104 Supplier of Credit</t>
  </si>
  <si>
    <t>2220200 Routine Maintenance- Other Assets</t>
  </si>
  <si>
    <t>2220102 Maintence of Computers and IT Equipments.</t>
  </si>
  <si>
    <t>3110700 Pruchase of motorvehicles and other Transport Equipment</t>
  </si>
  <si>
    <t>3110701 Purchase of Motor vehicles</t>
  </si>
  <si>
    <t>3111000 Purchase of House Hold Furniture and General Equipment</t>
  </si>
  <si>
    <t>3111001 Purcharse of Office Furniture and Fittings</t>
  </si>
  <si>
    <t>3111002 Purchase of Computers,Printers and Other It Equipment</t>
  </si>
  <si>
    <t>3111400 Research, Feasibility Studies, Project Preparation and Design, Project S</t>
  </si>
  <si>
    <t>3111401 Pre-feasibility, Feasibility and Appraisal Studies</t>
  </si>
  <si>
    <t>4917000300 Gender and Culture</t>
  </si>
  <si>
    <t>VOTE 4917000300  CULTURE AND GENDER.</t>
  </si>
  <si>
    <t>II. Heads and Items under which this Vote will be accounted for by the 4917000301                CULTURE AND GENDER</t>
  </si>
  <si>
    <t>Approved Estimates</t>
  </si>
  <si>
    <t>Revised Estimates</t>
  </si>
  <si>
    <t>Amount of Increase or Decrease</t>
  </si>
  <si>
    <t>2420200 Other Depository Corporations (Commercial Banks)</t>
  </si>
  <si>
    <t>2420203 Loans and Other Instruments</t>
  </si>
  <si>
    <t>3111599 other infrastucture and civil works</t>
  </si>
  <si>
    <t>TOTAL NET EXPENDITURE FOR VOTE 4917000300  CULTURE AND GENDER         Kshs.</t>
  </si>
  <si>
    <t>TRADE, ENERGY AND INDUSTRIALISATION</t>
  </si>
  <si>
    <t>Trade</t>
  </si>
  <si>
    <t>Special House Allowance</t>
  </si>
  <si>
    <t>GRAND TOTAL FOR RECURRENT</t>
  </si>
  <si>
    <t>Dev. Totals</t>
  </si>
  <si>
    <t>project supervision</t>
  </si>
  <si>
    <t>GRAND TOTALS</t>
  </si>
  <si>
    <t>ESTIMATES  2024/25</t>
  </si>
  <si>
    <t>ESTIMATES  2025/26</t>
  </si>
  <si>
    <t>Health risk allowance</t>
  </si>
  <si>
    <t xml:space="preserve">DEVELOPMENT PROJECTS </t>
  </si>
  <si>
    <t>Industrialization</t>
  </si>
  <si>
    <t>Promotion</t>
  </si>
  <si>
    <t xml:space="preserve">Promotion </t>
  </si>
  <si>
    <t>Agriculture</t>
  </si>
  <si>
    <t>ESTIMATES FOR 2026/2027</t>
  </si>
  <si>
    <t>ESTIMATES FOR 2027/2028</t>
  </si>
  <si>
    <t>ESTIMATES FOR 2028/2029</t>
  </si>
  <si>
    <t xml:space="preserve">2110100 Basic salary- Permanent Employees </t>
  </si>
  <si>
    <t>2110101 Basic  Salary civil services</t>
  </si>
  <si>
    <t>2110200  Basic Wages - Temporary Employees</t>
  </si>
  <si>
    <t>2110202 Casual labour- others</t>
  </si>
  <si>
    <t>2210101 Electricity Expenses</t>
  </si>
  <si>
    <t>2210102 Water and Sewerage charges</t>
  </si>
  <si>
    <t>2210201 Telephone,Telex,Facsmile and internet</t>
  </si>
  <si>
    <t>2210202 Internet services</t>
  </si>
  <si>
    <t>2210301 TravelCosts(Airlines,Bus,Railways)</t>
  </si>
  <si>
    <t>2210302 Accomodation    allowances</t>
  </si>
  <si>
    <t>2210303 Daily Subsistance Allowances and accomodation</t>
  </si>
  <si>
    <t>2210310 Field Operation Allowance</t>
  </si>
  <si>
    <t>2210400  ForeignTravel and Subsistence, and Other Transportation Costs</t>
  </si>
  <si>
    <t>2210401  ForeignTravel Costs (airlines, bus, railway, etc.)</t>
  </si>
  <si>
    <t>2210402  Foreign Accommodation</t>
  </si>
  <si>
    <t>2210403 Foreign Daily Subsistence Allowance</t>
  </si>
  <si>
    <t>2210604 Hire of Transport</t>
  </si>
  <si>
    <t>2210708 Trainer Allowance</t>
  </si>
  <si>
    <t>2210709 Research allowance</t>
  </si>
  <si>
    <t xml:space="preserve">2210710 Accomodation     </t>
  </si>
  <si>
    <t>2210711 Tuition / training fees</t>
  </si>
  <si>
    <t>2210900  Insurance Costs</t>
  </si>
  <si>
    <t>2210903 Plant, Equipment and Machinery Insurance</t>
  </si>
  <si>
    <t>2210910 Medical Insurance</t>
  </si>
  <si>
    <t>2211003 Veterinarian Supplies and Materials</t>
  </si>
  <si>
    <t>2211007 Agricultural materials, supplies and small equipment</t>
  </si>
  <si>
    <t>2211008 Laboratory materials, supplies and small equipment</t>
  </si>
  <si>
    <t>2211009 Education and Library Supplies</t>
  </si>
  <si>
    <t>2211021 Purchase of Bedding and Linen</t>
  </si>
  <si>
    <t>2211023 Supplies for Production</t>
  </si>
  <si>
    <t>2211201 Refined Fuels &amp; Lubricants</t>
  </si>
  <si>
    <t>2211301 Bank charges</t>
  </si>
  <si>
    <t>2211305 Contracted  Guards and cleaning  services</t>
  </si>
  <si>
    <t>2211311 Contracted  Professional and Technical  services</t>
  </si>
  <si>
    <t xml:space="preserve">2211308 Legal Dues/fees, Arbitration and Compensation Payments </t>
  </si>
  <si>
    <t xml:space="preserve">2211320 Temporary Committees Expenses </t>
  </si>
  <si>
    <t>2220201 Maintenance of Plant, Machinery and Equipment (Weather Stations)</t>
  </si>
  <si>
    <t>2220210 Maintenance of Computers, Software, and Networks(Inclusive of AWS)</t>
  </si>
  <si>
    <t>2410104 Suppliers Credit</t>
  </si>
  <si>
    <t>2710100 Government Pension and Retirement Benefits</t>
  </si>
  <si>
    <t>2710102 Gratuity  and Honorarium</t>
  </si>
  <si>
    <t>2710107 Monthly Pension - Civil Servants</t>
  </si>
  <si>
    <t>3110900 Purchase of Household Furniture and Institutional Equipment</t>
  </si>
  <si>
    <t>3110901 Purchase of Household and Institutional Furniture and Fittings</t>
  </si>
  <si>
    <t>3111400 Pre-feasibilty, Feasibility and Appraisal Studies</t>
  </si>
  <si>
    <t>3111401 Pre-feasibilty, Feasibility and Appraisal Studies</t>
  </si>
  <si>
    <t xml:space="preserve">  TOTAL RECURRENT H/Q</t>
  </si>
  <si>
    <t xml:space="preserve"> Development</t>
  </si>
  <si>
    <t>2640503 Other Capital grants and transfer(NAVCDP)</t>
  </si>
  <si>
    <t>3111301 Purchase of Certified Crop Seed</t>
  </si>
  <si>
    <t>2410104 Supplier Credits</t>
  </si>
  <si>
    <t>3111103 Purchase of Agricultural Machinery and Equipment</t>
  </si>
  <si>
    <t>2211007 Agricultural materials, supplies and small equipment (Mabanga ATC)</t>
  </si>
  <si>
    <t>2210904 Crop insurance</t>
  </si>
  <si>
    <t>3120199 Purchase of Fertilizer</t>
  </si>
  <si>
    <t>3110599 Ward based projects</t>
  </si>
  <si>
    <t>2210309 Field Allowance (Project Managemnt)</t>
  </si>
  <si>
    <t xml:space="preserve"> TOTAL DEVELOPMENT</t>
  </si>
  <si>
    <t xml:space="preserve"> TOTAL RECURRENT</t>
  </si>
  <si>
    <t xml:space="preserve"> TOTALS FOR H/Qs</t>
  </si>
  <si>
    <t xml:space="preserve"> SUB COUNTIES</t>
  </si>
  <si>
    <t>2210310 Field Operation Allowance- Subcounty Administrative Costs for Agriculture and Irrigation</t>
  </si>
  <si>
    <t xml:space="preserve"> TOTALS FOR SUB COUNTIES</t>
  </si>
  <si>
    <t xml:space="preserve"> MABANGA ATC AND AMC</t>
  </si>
  <si>
    <t xml:space="preserve"> Agriculture, Livestock, fisheries and co-operative development</t>
  </si>
  <si>
    <t>2210503 Subscription to Newspapers,</t>
  </si>
  <si>
    <t>2210802 Committes Boards and Conferances</t>
  </si>
  <si>
    <t>2211101 General Office Supplies</t>
  </si>
  <si>
    <t>2220201 Maintenance of Plant, Machinery and Equipment (including lifts,Humane killer,)</t>
  </si>
  <si>
    <t>3111000 Purchase of Office Furniture and Fittings</t>
  </si>
  <si>
    <t>3111001 Purchase of Office Furniture and General Equipment</t>
  </si>
  <si>
    <t>3110706 Purchase of Computers, Printers and other IT Equipment</t>
  </si>
  <si>
    <t xml:space="preserve"> TOTAL MABANGA ATC AND AMC</t>
  </si>
  <si>
    <t xml:space="preserve"> RECURRENT TOTALS</t>
  </si>
  <si>
    <t xml:space="preserve"> DEVELOPMENT TOTALS</t>
  </si>
  <si>
    <t xml:space="preserve"> GRAND TOTALS</t>
  </si>
  <si>
    <t>Cooperative development</t>
  </si>
  <si>
    <t>2110300 Personal Allowance -Paid as Part of Salary</t>
  </si>
  <si>
    <t>2110301 House Allowance</t>
  </si>
  <si>
    <t>2110308 Medical Allowance</t>
  </si>
  <si>
    <t>2110309 Special Duty /non practicing/ acting allowance</t>
  </si>
  <si>
    <t>2110311 Transfer Allowance</t>
  </si>
  <si>
    <t>2110312 Responsibility Allowance</t>
  </si>
  <si>
    <t>2110314 Transport Allowance</t>
  </si>
  <si>
    <t>2110315 Extraneous  Allowance</t>
  </si>
  <si>
    <t>2110317 Domestic Servant  Allowance</t>
  </si>
  <si>
    <t>2110318 Risk Allowance</t>
  </si>
  <si>
    <t>2110320 Leave Allowance</t>
  </si>
  <si>
    <t>2110321 Administrative Allowance</t>
  </si>
  <si>
    <t>2110400 Personal Allowance Paid as Reimbursements</t>
  </si>
  <si>
    <t>2110402 Refund of Medical Expenses-InPatient</t>
  </si>
  <si>
    <t>2110403 Refund of Medical Expenses-Ex-Gratia</t>
  </si>
  <si>
    <t>2110404 Leave Expenses</t>
  </si>
  <si>
    <t>2210302 Accomodation allowances</t>
  </si>
  <si>
    <t>2220201 Maintenance of Plant, Machinery and Equipment (Weather Station)</t>
  </si>
  <si>
    <t xml:space="preserve"> AIA</t>
  </si>
  <si>
    <t xml:space="preserve"> Cooperative Audit Fees</t>
  </si>
  <si>
    <t xml:space="preserve"> TOTAL A.I.A</t>
  </si>
  <si>
    <t xml:space="preserve"> NET RECURRENT</t>
  </si>
  <si>
    <t xml:space="preserve"> Supplies for Credit</t>
  </si>
  <si>
    <t xml:space="preserve"> TOTALS FOR  SUB COUNTIES</t>
  </si>
  <si>
    <t xml:space="preserve"> LIVESTOCK AND FISHERIES</t>
  </si>
  <si>
    <t>2270705 Field Training Attachments</t>
  </si>
  <si>
    <t xml:space="preserve">  TOTAL RECURRENT LIVETOCK H/Q</t>
  </si>
  <si>
    <t xml:space="preserve"> Sale of fish/fingerling</t>
  </si>
  <si>
    <t xml:space="preserve"> Livestock fees</t>
  </si>
  <si>
    <t>2410104  Supplier Credit</t>
  </si>
  <si>
    <t>3110599 Wardbased</t>
  </si>
  <si>
    <t>2640503 Kenya Livestock Commercialization Project (KeLCoP)</t>
  </si>
  <si>
    <t xml:space="preserve"> SUBCOUNTIES</t>
  </si>
  <si>
    <t>2210310 Field Operation Allowance - Subcounties Administrative Costs for Livestock, Veterinary and Fisheries ( 9 subcounties and 45 Wards)</t>
  </si>
  <si>
    <t xml:space="preserve"> TOTALS FOR ALFIC- SUB COUNTY</t>
  </si>
  <si>
    <t>CODE CHWELE FISH FARM</t>
  </si>
  <si>
    <t>2211008 Laboratory Materials, Supplies and Small Equipment</t>
  </si>
  <si>
    <t xml:space="preserve"> TOTALS FOR CHWELE FISH FARM</t>
  </si>
  <si>
    <t xml:space="preserve"> LIVESTOCK RECURRENT TOTALS</t>
  </si>
  <si>
    <t xml:space="preserve"> LIVESTOCK DEVELOPMENT TOTALS</t>
  </si>
  <si>
    <t xml:space="preserve"> LIVESTOCK GRAND TOTALS</t>
  </si>
  <si>
    <t xml:space="preserve"> Gross Expenditure</t>
  </si>
  <si>
    <t>4917000401 Youth and Sports</t>
  </si>
  <si>
    <t>2210502 Apublishing andf Printing</t>
  </si>
  <si>
    <t>2210704 Hire of Facilities</t>
  </si>
  <si>
    <t>2211016 Purchase of Sports Equipment</t>
  </si>
  <si>
    <t>2220202 Maintence of Computer Softwear and Networks</t>
  </si>
  <si>
    <t>2410104 Supplier of credit</t>
  </si>
  <si>
    <t>4917000400 Youth and Sports</t>
  </si>
  <si>
    <t>VOTE 4917000401 YOUTH AND SPORTS</t>
  </si>
  <si>
    <t>II. Heads and Items under which this Vote will be accounted for by the 4917000401                    YOUTH AND SPORTS</t>
  </si>
  <si>
    <t>3110599 Other Infrastructure and Civil Works (Pending bills)</t>
  </si>
  <si>
    <t>TOTAL NET EXPENDITURE FOR VOTE 4917000400  CULTURE, GENDER, YOUTH AND SPORTS           Kshs.</t>
  </si>
  <si>
    <t>PRINTED ESTIMATES FOR FY 2024/2025</t>
  </si>
  <si>
    <t>PROJECTED ESTIMATES FOR FY 2025/2026</t>
  </si>
  <si>
    <t>PROJECTED ESTIMATES FOR FY 2026/27</t>
  </si>
  <si>
    <t>TOTAL FOR HRM</t>
  </si>
  <si>
    <t>TOTAL FOR RECORDS</t>
  </si>
  <si>
    <t xml:space="preserve">GRAND TOTAL  CS </t>
  </si>
  <si>
    <t>GRAND TOTAL CS</t>
  </si>
  <si>
    <t>PRINTED ESTIMATES FOR FY 2026/2027</t>
  </si>
  <si>
    <t>PROJECTED ESTIMATES FOR FY 2027/2028</t>
  </si>
  <si>
    <t>PROJECTED ESTIMATES FOR FY 2028/29</t>
  </si>
  <si>
    <t>TOTAL RECURRENT COUNTY ATTORNEY</t>
  </si>
  <si>
    <t>2640503 KUSP grant</t>
  </si>
  <si>
    <t>DEPARTMENT OF EDUCATION AND VTC ITEMIZED BUDGET 2026/2027</t>
  </si>
  <si>
    <t>ENERGY</t>
  </si>
  <si>
    <t>INDUSTRIALIZATION</t>
  </si>
  <si>
    <t>VOTE 4911: County Department ofAgriculture,Livestock,fisheries, and Co-op Development Itemized Budget</t>
  </si>
  <si>
    <r>
      <t>I</t>
    </r>
    <r>
      <rPr>
        <b/>
        <sz val="12"/>
        <rFont val="Aptos Narrow"/>
        <family val="2"/>
      </rPr>
      <t>I RECURRENT EXPENDITURE SUMMARY 2026/2027 AND PROJECTED EXPENDITURE SUMMARY FOR 2027/2028  - 2028/2029</t>
    </r>
  </si>
  <si>
    <t>HEALTH ADMINISTRATION AND FINANCE</t>
  </si>
  <si>
    <t>DANIDA grant for universal Health care in devolved system program</t>
  </si>
  <si>
    <t>Covid 19</t>
  </si>
  <si>
    <t>DANIDA CO FUNDING</t>
  </si>
  <si>
    <t>CBA Agreement salary arrears</t>
  </si>
  <si>
    <t>Community Health Promoters</t>
  </si>
  <si>
    <t>Community Health Promoters Co funding</t>
  </si>
  <si>
    <t>Communication, Supplies and Services</t>
  </si>
  <si>
    <t>Other programmes</t>
  </si>
  <si>
    <t>HEALTH RECURRENT</t>
  </si>
  <si>
    <t>NET</t>
  </si>
  <si>
    <t>HEALTH DEVELOPMENT</t>
  </si>
  <si>
    <t xml:space="preserve"> HEALTH DEVELOPMENT</t>
  </si>
  <si>
    <t xml:space="preserve"> HEALTH TOTAL RECURRENT &amp;DEV</t>
  </si>
  <si>
    <t>Recurrent hospital budgets</t>
  </si>
  <si>
    <t>Development hospital budgets</t>
  </si>
  <si>
    <t>Sale of Goods and Fees for Services (AIA)</t>
  </si>
  <si>
    <t>TOTAL HEALTH</t>
  </si>
  <si>
    <t>Sanitation</t>
  </si>
  <si>
    <t>SANITATION RECURRENT</t>
  </si>
  <si>
    <t>maintenance of ward based projects</t>
  </si>
  <si>
    <t>SANITATION DEVELOPMENT</t>
  </si>
  <si>
    <t>GRAND TOTAL SANITATION</t>
  </si>
  <si>
    <t>HEALTH AND SANITATION RECURRENT</t>
  </si>
  <si>
    <t>HEALTH AND SANITATION DEVELOPMENT</t>
  </si>
  <si>
    <t>TOTAL HEALTH AND SANITATION</t>
  </si>
  <si>
    <t>PUBLIC HEALTH</t>
  </si>
  <si>
    <t>PUBLIC HEALTH TOTAL</t>
  </si>
  <si>
    <t>ITEMISED BUDGET 2024/2025</t>
  </si>
  <si>
    <t>BUNGOMA COUNTY REFERRALL HOSPITAL</t>
  </si>
  <si>
    <t>RECURRENT ESTIMATES</t>
  </si>
  <si>
    <t>TOTAL RECURENT  BUDGET ESTIMATES FOR BUNGOMA COUNTY REFERRAL HOSPITAL</t>
  </si>
  <si>
    <t>DEVELOPMENT ESTIMATES</t>
  </si>
  <si>
    <t xml:space="preserve"> Purchase of Medical and Dental Equipment</t>
  </si>
  <si>
    <t>TOTAL DEVELOPMENT BUDGET ESTIMATES FOR BUNGOMA COUNTY REFERRAL HOSPITAL</t>
  </si>
  <si>
    <t>TOTAL RECURRENT AND DEVELOPMENT ESTIMATES FOR BUNGOMA COUNTY REFERRAL HOSPITAL</t>
  </si>
  <si>
    <t xml:space="preserve">WEBUYE COUNTY HOSPITAL </t>
  </si>
  <si>
    <t>TOTAL RECURENT  BUDGET ESTIMATES FOR WEBUYE COUNTY HOSPITAL</t>
  </si>
  <si>
    <t>DEVELOPMENT BUDGET ESTIMATES</t>
  </si>
  <si>
    <t>TOTAL DEVELOPMENT BUDGET ESTIMATES</t>
  </si>
  <si>
    <t>TOTAL RECURRENT AND DEVELOPMENT ESTIMATES FOR BUDGET WEBUYE COUNTY HOSPITAL</t>
  </si>
  <si>
    <t>KIMILILI SUB COUNTY HOSPITAL</t>
  </si>
  <si>
    <t>TOTAL KIMILILI</t>
  </si>
  <si>
    <t>TOTAL DEVELOPMENT BUDGET ESTIMATES FOR KIMILILI SUBCOUNTY HOSPITAL</t>
  </si>
  <si>
    <t xml:space="preserve">TOTAL RECURRENT AND DEVELOPMENT ESTIMATES FOR KIMILILI SUBCOUNTY HOSPITAL </t>
  </si>
  <si>
    <t>MT ELGON SUB COUNTY HOSPITAL</t>
  </si>
  <si>
    <t>RECURRENT  BUDGET ESTIMATES</t>
  </si>
  <si>
    <t>TOTAL RECURRENT  BUDGET ESTIMATES MT ELGON SUB COUNTY HOSPITAL</t>
  </si>
  <si>
    <t>TOTAL DEVELOPMENT BUDGET ESTIMATES FOR    MT ELGON  SUBCOUNTY HOSPITAL</t>
  </si>
  <si>
    <t>TOTAL RECURRENT AND  DEVELOPMENT BUDGET ESTIMATES FOR    MT ELGON SUBCOUNTY HOSPITAL</t>
  </si>
  <si>
    <t>NAITIRI  SUBCOUNTY HOSPITAL</t>
  </si>
  <si>
    <t>RECURRENT BUDGET ESTIMATES</t>
  </si>
  <si>
    <t>TOTAL RECURRENT BUDGET ESTIMATES FOR NAITIRI SUBCOUNTY HOSPITAL</t>
  </si>
  <si>
    <t>TOTAL DEVELOPMENT BUDGET ESTIMATES FOR NAITIRI SUBCOUNTY HOSPITAL</t>
  </si>
  <si>
    <t>TOTAL RECURRENT AND DEVELOPMENT FOR NAITIRI  SUBCOUNTY HOSPITAL</t>
  </si>
  <si>
    <t>BUMULA SUB COUNTY HOSPTAL</t>
  </si>
  <si>
    <t>TOTAL BUMULA</t>
  </si>
  <si>
    <t>TOTAL DEVELOPMENT BUMULA</t>
  </si>
  <si>
    <t>TOTAL BUMULA BUDGET</t>
  </si>
  <si>
    <t>CHWELE SUB COUNTY HOSPITAL</t>
  </si>
  <si>
    <t>TOTAL RECURRENT  BUDGET ESTIMATES FOR CHWELE SUB COUNTY HOSPITAL</t>
  </si>
  <si>
    <t>TOTAL DEVELOPMENT BUDGET ESTIMATES FOR    CHWELE  SUBCOUNTY HOSPITAL</t>
  </si>
  <si>
    <t>TOTAL RECURRENT AND  DEVELOPMENT BUDGET ESTIMATES FOR    CHWELESUBCOUNTY HOSPITAL</t>
  </si>
  <si>
    <t>SIRISIA SUB COUNTY HOSPITAL</t>
  </si>
  <si>
    <t>TOTAL RECURRENT  BUDGET ESTIMATES FOR SIRISIA SUB COUNTY HOSPITAL</t>
  </si>
  <si>
    <t>TOTAL DEVELOPMENT ESTIMATES FOR SIRISIA SUCOUNTY HOSPITAL</t>
  </si>
  <si>
    <t>TOTAL RECURRENT AND DEVELOPMENT  BUDGET ESTIMATES FOR SIRISIA SUB COUNTY HOSPITAL</t>
  </si>
  <si>
    <t>CHEPTAIS SUB COUNTY HOSPITAL</t>
  </si>
  <si>
    <t>TOTAL RECURRENT  BUDGET ESTIMATES CHEPTAIS SUB COUNTY HOSPITAL</t>
  </si>
  <si>
    <t>TOTAL DEVELOPMENT BUDGET ESTIMATES FOR    CHEPTAIS  SUBCOUNTY HOSPITAL</t>
  </si>
  <si>
    <t>TOTAL RECURRENT AND  DEVELOPMENT BUDGET ESTIMATES FOR    CHEPTAIS SUBCOUNTY HOSPITAL</t>
  </si>
  <si>
    <t>BOKOLI SUBCOUNTY HOSPITAL</t>
  </si>
  <si>
    <t>TOTAL BOKOLI SUB HOSPITAL</t>
  </si>
  <si>
    <t>SINOKO SUB COUNTY HOSPITAL</t>
  </si>
  <si>
    <t>TOTAL RECURRENT  BUDGET ESTIMATES FOR SINOKO SUB COUNTY HOSPITAL</t>
  </si>
  <si>
    <t>TOTAL DEVELOPMENT BUDGET ESTIMATES FOR    SINOKO SUBCOUNTY HOSPITAL</t>
  </si>
  <si>
    <t>TOTAL RECURRENT AND  DEVELOPMENT BUDGET ESTIMATES FOR    SINOKO SUBCOUNTY HOSPITAL</t>
  </si>
  <si>
    <t>TOTAL AIA FOR FACILITIES</t>
  </si>
  <si>
    <t>PRIMARY HEALTH CARE</t>
  </si>
  <si>
    <t>TOTAL RECURRENT  BUDGET ESTIMATES FOR PRIMARY HEALTH CARE</t>
  </si>
  <si>
    <t>TOTAL DEVELOPMENT BUDGET ESTIMATES FOR    PRIMARY HEALTH CARE</t>
  </si>
  <si>
    <t>TOTAL RECURRENT AND  DEVELOPMENT BUDGET ESTIMATES FOR   PRIMARY HEALTH CARE</t>
  </si>
  <si>
    <t>Local Revenue</t>
  </si>
  <si>
    <t>CODELANDS</t>
  </si>
  <si>
    <t xml:space="preserve">2210502Printing </t>
  </si>
  <si>
    <t>2211324Land registration</t>
  </si>
  <si>
    <t>2211310Contracted Professional Services</t>
  </si>
  <si>
    <t>2211311contracted techinical services</t>
  </si>
  <si>
    <t>3130101purchase of land</t>
  </si>
  <si>
    <t>3110599Ward based projects</t>
  </si>
  <si>
    <t>3110302Refurbishment of Non-Residential Buildings</t>
  </si>
  <si>
    <r>
      <t xml:space="preserve">2210710Accomodation   </t>
    </r>
    <r>
      <rPr>
        <i/>
        <sz val="12"/>
        <color rgb="FF000000"/>
        <rFont val="Aptos Narrow"/>
        <family val="2"/>
      </rPr>
      <t xml:space="preserve">  </t>
    </r>
  </si>
  <si>
    <t>2110100Basic Salaries - Permanent Employees</t>
  </si>
  <si>
    <t>2110101Basic Salaries- civil service</t>
  </si>
  <si>
    <t xml:space="preserve">2110200Basic Wages - Temporary Employees </t>
  </si>
  <si>
    <t>2110202Casual Labour</t>
  </si>
  <si>
    <t>2640500Other Capital Grants and Trasfers.</t>
  </si>
  <si>
    <t>2210309Field operational allowance</t>
  </si>
  <si>
    <t/>
  </si>
  <si>
    <t xml:space="preserve">2210402Accommodation </t>
  </si>
  <si>
    <t>2210705Field Training Attachments COSECSA $ ICU</t>
  </si>
  <si>
    <t xml:space="preserve">2210801Catering Services (receptions), Accommodation, Gifts, Food and Drinks </t>
  </si>
  <si>
    <t>2210910Medical insurance</t>
  </si>
  <si>
    <t>2211000Specialised Materials and Supplies</t>
  </si>
  <si>
    <t>2211001Medical Drugs</t>
  </si>
  <si>
    <t>2211002Dressings and Other Non-Pharmaceutical Medical Items</t>
  </si>
  <si>
    <t>2211005Chemicals and Industrial Gases</t>
  </si>
  <si>
    <t>2211008Laboratory Materials, Supplies and Small Equipment</t>
  </si>
  <si>
    <t>2211015Food and Rations</t>
  </si>
  <si>
    <t>2211021Purchase of Bedding and Linen</t>
  </si>
  <si>
    <t>2211028Purchase of X-Rays equipment and Supplies</t>
  </si>
  <si>
    <t xml:space="preserve">2211101General Office Supplies (papers, pencils, forms, small office equipment etc) </t>
  </si>
  <si>
    <t>2211204Other Fuels (wood, charcoal, cooking gas)</t>
  </si>
  <si>
    <t xml:space="preserve">2211310Contracted Professional </t>
  </si>
  <si>
    <t>2211304Medical Expenses</t>
  </si>
  <si>
    <t>2220203Maintenance of Medical and Dental Equipment</t>
  </si>
  <si>
    <t>3110700purchases of  automobiles</t>
  </si>
  <si>
    <t>3110701Purchase of Motor Vehicles</t>
  </si>
  <si>
    <t>3110704Purchase of bicycle and Motor Cycles</t>
  </si>
  <si>
    <t>3110599Project supervision</t>
  </si>
  <si>
    <t>3110902Purchase of Household and Institutional Appliances</t>
  </si>
  <si>
    <t>3110504other infrastructure and civil works</t>
  </si>
  <si>
    <t xml:space="preserve">2110100Basic salary- Permanent Employees </t>
  </si>
  <si>
    <t>2110101Basic  Salary civil services</t>
  </si>
  <si>
    <t>2210201Telephone,Telex,Facsmile and internet</t>
  </si>
  <si>
    <t>2210301TravelCosts(Airlines,Bus,Railwayc)</t>
  </si>
  <si>
    <t>2210303Daily Subsistance Allowances and accomodation</t>
  </si>
  <si>
    <t xml:space="preserve">2210710Accomodation     </t>
  </si>
  <si>
    <t>2210711Tuition / training fees</t>
  </si>
  <si>
    <t>2210705Field Training Attachments</t>
  </si>
  <si>
    <t>2211103Sanitary and cleaning materials,</t>
  </si>
  <si>
    <t xml:space="preserve">3110599Other infrastructure and civil works  ward based </t>
  </si>
  <si>
    <t xml:space="preserve">3110504Other infrasructure and civil works </t>
  </si>
  <si>
    <t>2210503Subscriptions to Legal documents</t>
  </si>
  <si>
    <t>2211008Laboratory fees</t>
  </si>
  <si>
    <t>2211016Purchase staff uniforms</t>
  </si>
  <si>
    <t>3111000purchase of furniture</t>
  </si>
  <si>
    <t>3111001purchase of furniture</t>
  </si>
  <si>
    <t>2110201Contractual Employees</t>
  </si>
  <si>
    <t>2110300Personal Allowance - Paid as Part of Salary</t>
  </si>
  <si>
    <t>2110301House Allowance</t>
  </si>
  <si>
    <t>2110320Leave Allowance</t>
  </si>
  <si>
    <t>2110400Personal Allowances Paid as Reimbursements</t>
  </si>
  <si>
    <t>2410104Supply for credit</t>
  </si>
  <si>
    <t>2210600Rentals of Produced Assets</t>
  </si>
  <si>
    <t>2210603Rents and Rates - Non-Residential</t>
  </si>
  <si>
    <t>2211016Purchase of Uniforms and Clothing - Staff</t>
  </si>
  <si>
    <t>2211019Purchase of Uniforms and Clothing - Patients</t>
  </si>
  <si>
    <t>2211028Purchase of X-Rays Supplies</t>
  </si>
  <si>
    <t>2211204Other Fuels (wood, charcoal, cooking gas etc…)</t>
  </si>
  <si>
    <t>2211301Bank Service Commission and Charges</t>
  </si>
  <si>
    <t>2211304Medical Expenses(Patient files and cards)</t>
  </si>
  <si>
    <t xml:space="preserve">2211308Legal Dues/fees, Arbitration and Compensation Payments </t>
  </si>
  <si>
    <t>3110900Purchase of Institutional equipment</t>
  </si>
  <si>
    <t>3111003Purchase of motor vehicle</t>
  </si>
  <si>
    <t>3110701Purchase of Airconditioners, Fans and Heating Appliances</t>
  </si>
  <si>
    <t>3111100Purchase of Specialised Plant, Equipment and Machinery</t>
  </si>
  <si>
    <t>3111106Purchase of Fire fighting Vehicles and Equipment</t>
  </si>
  <si>
    <t>3111111Purchase of ICT networking and Communications Equipment</t>
  </si>
  <si>
    <t>3111403Research(Baseline survey)</t>
  </si>
  <si>
    <t>3110599Other Infrastructure and Civil Works</t>
  </si>
  <si>
    <t>3110902project supervision</t>
  </si>
  <si>
    <t>2210910Motor Vehicle Insurance</t>
  </si>
  <si>
    <t>2210904Medical  insurance</t>
  </si>
  <si>
    <t>3111003Purchase of Airconditioners, Fans and Heating Appliances</t>
  </si>
  <si>
    <t>3110599maintenance of ward based projects</t>
  </si>
  <si>
    <t>2410104Supplier Credit-Ward Based</t>
  </si>
  <si>
    <t>2410104Pending bills</t>
  </si>
  <si>
    <t>2410104Supplier Credit-</t>
  </si>
  <si>
    <t>3111101Purchase of Medical and Dental Equipment</t>
  </si>
  <si>
    <t>CODETrade</t>
  </si>
  <si>
    <t xml:space="preserve">2110100Basic Wages - Temporary Employees </t>
  </si>
  <si>
    <t>2110101 Salary civil services</t>
  </si>
  <si>
    <t>2110202Casual Labour - Others</t>
  </si>
  <si>
    <t>2110300Personal Allowance -Paid as Part of Salary</t>
  </si>
  <si>
    <t>2110302Commuter Allowance</t>
  </si>
  <si>
    <t>2110400Personal Allowance Paid as Reimbursements</t>
  </si>
  <si>
    <t>2110404Leave Expenses</t>
  </si>
  <si>
    <t>2120100Employer contribution to staff pension scheme</t>
  </si>
  <si>
    <t>2120103Employer contribution to staff pension scheme</t>
  </si>
  <si>
    <t xml:space="preserve">2210202Internet Connections </t>
  </si>
  <si>
    <t>2210301Travel Costs(Airlines,Bus,Railwayc)</t>
  </si>
  <si>
    <t xml:space="preserve">2210309Field Allowance </t>
  </si>
  <si>
    <t>2210502Publishing and Printing Servises</t>
  </si>
  <si>
    <t>2210504advertising awareness</t>
  </si>
  <si>
    <t>2210710Accomodation     x</t>
  </si>
  <si>
    <t>2210801Catering services,receptions,Ac</t>
  </si>
  <si>
    <t>2210802Committees Boards and Conferences</t>
  </si>
  <si>
    <t>2211101General Office Supplies (Printing papers, files, writing mtrls and envelopes)</t>
  </si>
  <si>
    <t>3111003Purchase of electrical equipment for street lights</t>
  </si>
  <si>
    <t>2410104Supplier's credit</t>
  </si>
  <si>
    <t>2640503Trade Loans</t>
  </si>
  <si>
    <t>Code ENERGY</t>
  </si>
  <si>
    <t>2110100Basic Salary</t>
  </si>
  <si>
    <t>2110101Basic Salary</t>
  </si>
  <si>
    <t>2210400Foriegn Travel and Subsistence, and Other Transportation Costs</t>
  </si>
  <si>
    <t>2210401TravelCosts(Airlines,Bus,Railwayc)</t>
  </si>
  <si>
    <t>2210403Daily Subsistance Allowances and accomodation</t>
  </si>
  <si>
    <t>2210503Subscription to Newspapers,</t>
  </si>
  <si>
    <t>2211310Contracted Professional and technical Services</t>
  </si>
  <si>
    <t>2220299Maintenance of street lights</t>
  </si>
  <si>
    <t xml:space="preserve">3111504Other infrastructure and civil works </t>
  </si>
  <si>
    <t>CodeIndustrialization</t>
  </si>
  <si>
    <t>2110100Salary</t>
  </si>
  <si>
    <t>2110101Gross Salary civil services</t>
  </si>
  <si>
    <t>2210301TravelCosts(Airlines,Bus,Railway)</t>
  </si>
  <si>
    <t>2211009Education and Library Supplies</t>
  </si>
  <si>
    <t>2211003Veterinary supplies &amp; materials</t>
  </si>
  <si>
    <t>2211004Fungicides insectcides &amp; sprays</t>
  </si>
  <si>
    <t>2410104suppliers credits</t>
  </si>
  <si>
    <t>3110699Overhaul of other infrustructure and civil works</t>
  </si>
  <si>
    <r>
      <t>2210105Water and Sewarage expenses</t>
    </r>
    <r>
      <rPr>
        <b/>
        <sz val="12"/>
        <rFont val="Aptos Narrow"/>
        <family val="2"/>
      </rPr>
      <t>( BWASCO)</t>
    </r>
  </si>
  <si>
    <t>Ge</t>
  </si>
  <si>
    <t>PRINTED ESTIMATES  F/Y 2025/2026</t>
  </si>
  <si>
    <t>PROJECTED ESTIMATES FOR FY 2026/2027</t>
  </si>
  <si>
    <t>PROJECTED ESTIMATES FOR FY 2027/28</t>
  </si>
  <si>
    <t>PRINTED ESTIMATES  F/Y 2026/2027</t>
  </si>
  <si>
    <t xml:space="preserve"> TOTAL RECURRENT SP</t>
  </si>
  <si>
    <t>CODEGOVERNOR'S OFFICE</t>
  </si>
  <si>
    <t>2210202Courier and Postal Services</t>
  </si>
  <si>
    <t>2210302Accomodation allowance</t>
  </si>
  <si>
    <t>2210404Sundry Items (e.g. airport tax, taxis)</t>
  </si>
  <si>
    <t>2210604Hire of Transport</t>
  </si>
  <si>
    <t>2210704Hire of Training Facilities and Equipment</t>
  </si>
  <si>
    <t>2210709Research allowance</t>
  </si>
  <si>
    <t>2210801Catering services,receptions,Accomodation ,Gifts,Food and drinks</t>
  </si>
  <si>
    <t>2211201Refined Fuels &amp; Lubrication</t>
  </si>
  <si>
    <t>2211309Management Fees</t>
  </si>
  <si>
    <t>2210320Temporal expenses</t>
  </si>
  <si>
    <t>2211399special programmes</t>
  </si>
  <si>
    <t>4110405Car loans to Public Servants</t>
  </si>
  <si>
    <t xml:space="preserve">3110701Purchase of Motor vehicles </t>
  </si>
  <si>
    <t>2211311Contracted Technical Services</t>
  </si>
  <si>
    <t xml:space="preserve">2220204Maintanance of Residetial Houses </t>
  </si>
  <si>
    <t>2220210Maintenance of Computers, Software, and Networks ie tonners</t>
  </si>
  <si>
    <t>2710102Gratuity  and Honorarium</t>
  </si>
  <si>
    <t>3110900Purchase of Household Furniture and Institutional Equipment</t>
  </si>
  <si>
    <t>3111003Purchase of Airconditioners, Fans and Heating Appliances (KPLC)</t>
  </si>
  <si>
    <t>CODESPECIAL PROGRAMME</t>
  </si>
  <si>
    <t>2210302Accomodation -Domestic Travel</t>
  </si>
  <si>
    <t>2211201Refined Fuels &amp; Lubri</t>
  </si>
  <si>
    <t>2210320Temporal imprests</t>
  </si>
  <si>
    <t>CODESERVICE DELIVERY UNIT</t>
  </si>
  <si>
    <t>CODEDEPUTY GOVERNOR</t>
  </si>
  <si>
    <t>2210404Sundry Items (e.g. airport tax, taxis</t>
  </si>
  <si>
    <t>2220210Maintenance of Computers, Software, and Networks(tonners)</t>
  </si>
  <si>
    <t>3111002Purchase of Computers, Printers,cameras and other IT Equipment</t>
  </si>
  <si>
    <t>3111401Pre-Feasibility Studies</t>
  </si>
  <si>
    <t>Health</t>
  </si>
  <si>
    <t>Climate change grant</t>
  </si>
  <si>
    <t>Housing</t>
  </si>
  <si>
    <t>Total</t>
  </si>
  <si>
    <t>A. REVENUE</t>
  </si>
  <si>
    <t>NO.</t>
  </si>
  <si>
    <t>SOURCE</t>
  </si>
  <si>
    <t>First Supplementary</t>
  </si>
  <si>
    <t>Percentage of the total revenue</t>
  </si>
  <si>
    <t>Transfers from Central Government</t>
  </si>
  <si>
    <t>Conditional Grant- National Government:</t>
  </si>
  <si>
    <t>UNFPA</t>
  </si>
  <si>
    <t>SHIF</t>
  </si>
  <si>
    <t>Primary Health Care</t>
  </si>
  <si>
    <t>Kenya Agricultural Business Development Project (KABDP)</t>
  </si>
  <si>
    <t>Aggregated Industrial Park Grant</t>
  </si>
  <si>
    <t>Rural Electrifiction and Renewable Energy Corporation (REREC)</t>
  </si>
  <si>
    <t>Kenya Livestock Commercialization Poject (KELCLOP)</t>
  </si>
  <si>
    <t>Fuel Levy Fund</t>
  </si>
  <si>
    <t>Conditional Grants- Development Partners:</t>
  </si>
  <si>
    <t>UNICEF</t>
  </si>
  <si>
    <t xml:space="preserve">Danish International Development Agency (DANIDA) </t>
  </si>
  <si>
    <t>NARGIP</t>
  </si>
  <si>
    <t xml:space="preserve"> National Agricultural Value Chain Developent Project (NAVCDP)</t>
  </si>
  <si>
    <t xml:space="preserve"> Kenya Devolution Support Programme- Level 1</t>
  </si>
  <si>
    <t>Kenya Devolution Support Programme- Level 11</t>
  </si>
  <si>
    <t>Urban Support Programme(Development)</t>
  </si>
  <si>
    <t xml:space="preserve"> Urban Support Programme(Reccurent)</t>
  </si>
  <si>
    <t xml:space="preserve"> KISP II (Kenya Informal Settlement Improvement Project)</t>
  </si>
  <si>
    <t>Finance Locally Led Climate Action Program(FLLOCA )- Water</t>
  </si>
  <si>
    <r>
      <t>Water and Natural Resources</t>
    </r>
    <r>
      <rPr>
        <sz val="12"/>
        <rFont val="Aptos Narrow"/>
        <family val="2"/>
      </rPr>
      <t xml:space="preserve"> I) WATER KOICA</t>
    </r>
  </si>
  <si>
    <t xml:space="preserve"> FUNDS</t>
  </si>
  <si>
    <t>Trade loan</t>
  </si>
  <si>
    <t>Women Fund</t>
  </si>
  <si>
    <t>Disability</t>
  </si>
  <si>
    <t>Youth Fund</t>
  </si>
  <si>
    <t>Emmergency Fund</t>
  </si>
  <si>
    <t>Education support Scheme Fund</t>
  </si>
  <si>
    <t>Locally Generated AIA:</t>
  </si>
  <si>
    <t xml:space="preserve"> Health Water  and Sanitation</t>
  </si>
  <si>
    <t>LOCAL REVENUE AS PER  EXPECTED FINANCE ACT</t>
  </si>
  <si>
    <t>DEFICIT</t>
  </si>
  <si>
    <t xml:space="preserve">                                                             -  </t>
  </si>
  <si>
    <t>s</t>
  </si>
  <si>
    <t>ALLOCATION</t>
  </si>
  <si>
    <t>Amref</t>
  </si>
  <si>
    <t>Budget FY 2026/27</t>
  </si>
  <si>
    <t>CONSOLIDATED  BUDGET   FY 2026/27</t>
  </si>
  <si>
    <t xml:space="preserve">DEPARTMENT </t>
  </si>
  <si>
    <t>Agriculture and Irrigation</t>
  </si>
  <si>
    <t xml:space="preserve">Tourism and Environment </t>
  </si>
  <si>
    <t>Water and Natural Resources</t>
  </si>
  <si>
    <t>Roads and Public Works</t>
  </si>
  <si>
    <t>Education and Vocational Training Centres</t>
  </si>
  <si>
    <t>Hospital Facilities</t>
  </si>
  <si>
    <t>Trade Loan</t>
  </si>
  <si>
    <t>Energy</t>
  </si>
  <si>
    <t>Lands, Urban and Physical Planning</t>
  </si>
  <si>
    <t>Bungoma Municipality</t>
  </si>
  <si>
    <t>Kimilili Municipality</t>
  </si>
  <si>
    <t>Gender, Culture</t>
  </si>
  <si>
    <t>Disability Fund</t>
  </si>
  <si>
    <t>Youth and Sports</t>
  </si>
  <si>
    <t>County Assembly</t>
  </si>
  <si>
    <t>Finance and Economic Planning</t>
  </si>
  <si>
    <t>County Public Service Board</t>
  </si>
  <si>
    <t>Governor’s Office</t>
  </si>
  <si>
    <t xml:space="preserve">Deputy Governor’s Office </t>
  </si>
  <si>
    <t xml:space="preserve">Public Service Management and Administration </t>
  </si>
  <si>
    <t>Sub County Administration</t>
  </si>
  <si>
    <t>Office of the County Secretary</t>
  </si>
  <si>
    <t xml:space="preserve">Grand Total </t>
  </si>
  <si>
    <t>Percentages</t>
  </si>
  <si>
    <t>Recurrent</t>
  </si>
  <si>
    <t xml:space="preserve">3110504 Other infrastructure and civil works </t>
  </si>
  <si>
    <t xml:space="preserve">3110599 Other infrastructure and civil works </t>
  </si>
  <si>
    <t>2410104 Suppliers Credits-Ward Based</t>
  </si>
  <si>
    <t>S/NO</t>
  </si>
  <si>
    <t>DEPARTMENT</t>
  </si>
  <si>
    <t>2025/26 % TREND</t>
  </si>
  <si>
    <t>2025/26 ALLOCATION</t>
  </si>
  <si>
    <t>NEW ALLOCATION 20M @ WARD 2026/27</t>
  </si>
  <si>
    <t>Roads, Infrastructure and Public Works</t>
  </si>
  <si>
    <t>Education</t>
  </si>
  <si>
    <t>Health and Sanitation</t>
  </si>
  <si>
    <t xml:space="preserve">Trade </t>
  </si>
  <si>
    <t>ALFIC</t>
  </si>
  <si>
    <t>Lands</t>
  </si>
  <si>
    <t>Gender</t>
  </si>
  <si>
    <t>CODECOUNTY SECRETARY</t>
  </si>
  <si>
    <t xml:space="preserve">2210202Internet connections and networking </t>
  </si>
  <si>
    <t>2210407State Visits Abroad</t>
  </si>
  <si>
    <t>2210702Remuneration of Instructors and Contract Based Training Services</t>
  </si>
  <si>
    <t>2210802Committees Boards and Conferances</t>
  </si>
  <si>
    <t>2640504Devolution Support Proggramme</t>
  </si>
  <si>
    <t>2710102Bereavement</t>
  </si>
  <si>
    <t>2211310Contracted Professional  Services</t>
  </si>
  <si>
    <t>2220205Maintenance of Buildings and Stations - Non-Residential</t>
  </si>
  <si>
    <t>3111106Purchase of Fire fighting  Equipment</t>
  </si>
  <si>
    <t>CODEHUMAN RESOURCE MANAGEMENT</t>
  </si>
  <si>
    <t>2210802'Committe Boards and Conferences</t>
  </si>
  <si>
    <t>CODERECORDS MANAGEMENT</t>
  </si>
  <si>
    <t>2211101'General Office Supplies (ie stationaries</t>
  </si>
  <si>
    <t>CODECOUNTY ATTORNEY</t>
  </si>
  <si>
    <t>2211101General Office Supplies (ie stationaries</t>
  </si>
  <si>
    <t>2211320temporal imprests</t>
  </si>
  <si>
    <t xml:space="preserve">2220204Maintanance of Residential Houses </t>
  </si>
  <si>
    <t>2220210Maintenance of Computers, Software, and Networks(TONNERS)</t>
  </si>
  <si>
    <t>VOTE 4923: County Department of County Public Administration/CS/SCA</t>
  </si>
  <si>
    <t>CODE PUBLIC SERVICE MANAGEMENT AND ADMINISTRATION</t>
  </si>
  <si>
    <t xml:space="preserve">2110200 Basic Wages - Temporary Employees </t>
  </si>
  <si>
    <t>2110201 Contractual Employees</t>
  </si>
  <si>
    <t>2110202 Casual Labour - Others</t>
  </si>
  <si>
    <t xml:space="preserve">2210202 Internet connections and networking </t>
  </si>
  <si>
    <t>2210301 TravelCosts(Airlines,Bus,Railway)</t>
  </si>
  <si>
    <t>2210302 Accomodation allowance</t>
  </si>
  <si>
    <t>2210309 Field Allowance National holidays</t>
  </si>
  <si>
    <t>2210400 Foreign Travel and Subsistence, and other transportation costs</t>
  </si>
  <si>
    <t xml:space="preserve">2210401 Travel Costs (airlines, bus, railway, </t>
  </si>
  <si>
    <t xml:space="preserve">2210402 Accommodation </t>
  </si>
  <si>
    <t xml:space="preserve">2210403 Daily Subsistence Allowance </t>
  </si>
  <si>
    <t>2210404 Sundry Items (e.g. airport tax, taxis, etc…)</t>
  </si>
  <si>
    <t>2210407 State Visits Abroad</t>
  </si>
  <si>
    <t>2210504 Advertising,Publicity and Awareness Campain</t>
  </si>
  <si>
    <t xml:space="preserve">2210310 Field Operational Allowance </t>
  </si>
  <si>
    <t>2210705 research allowance</t>
  </si>
  <si>
    <t>2210711 Training fees</t>
  </si>
  <si>
    <t>2210801 Catering services,receptions</t>
  </si>
  <si>
    <t>2210802 Committes Boards and Conferences</t>
  </si>
  <si>
    <t>2211101 General Office Supplies (Paper)</t>
  </si>
  <si>
    <t>2211103 Sanitary and cleaning materials</t>
  </si>
  <si>
    <t>3111106 Purchase of fire extinguishers</t>
  </si>
  <si>
    <t>2111305 Contracted Guards and Cleaning Services</t>
  </si>
  <si>
    <t>2210320 Temporal imprests</t>
  </si>
  <si>
    <t>2410104 Supplies credit</t>
  </si>
  <si>
    <t xml:space="preserve">3110701 Purchase of Motor vehicles </t>
  </si>
  <si>
    <t>3110708 Purchase of Minibuses and Buses</t>
  </si>
  <si>
    <t>2211310 Contracted Professional and technical Services</t>
  </si>
  <si>
    <t>2640504 Other Capital Grants &amp; Transfers (Kenya Devolution Support Proggramme II)</t>
  </si>
  <si>
    <t xml:space="preserve"> 2640504 Kenya Devolution Support Programme II-Co-funding</t>
  </si>
  <si>
    <t>2220201 Maintenance of Plant, Machinery and Equipment (including lifts)</t>
  </si>
  <si>
    <t xml:space="preserve">2220204 Maintanance of Residetial Houses </t>
  </si>
  <si>
    <t>2220206 Maintenance of H/Q building</t>
  </si>
  <si>
    <t>2220210 Maintenance of Computers, Software, and Networks(TONNERS)</t>
  </si>
  <si>
    <t>2710105 Gratuity - Ministers</t>
  </si>
  <si>
    <t xml:space="preserve"> pre feasibility studies</t>
  </si>
  <si>
    <t>3111003 Purchase of Airconditioners, Fans and Heating Appliances (KPLC)</t>
  </si>
  <si>
    <t>3111106 Purchase of Fire fighting Equipment ie extinguishers,lightening arrestor etc</t>
  </si>
  <si>
    <t xml:space="preserve"> KDSP 2</t>
  </si>
  <si>
    <t xml:space="preserve"> GRAND TOTAL FOR RECURRENT</t>
  </si>
  <si>
    <t xml:space="preserve"> ICT</t>
  </si>
  <si>
    <t>PRINTED ESTIMATES FOR FY 2025/2026</t>
  </si>
  <si>
    <t>2210100 Utilities Supplies and Services 2210100 Utilities Supplies and Services</t>
  </si>
  <si>
    <t>2210101 Electricity 2210101 Electricity</t>
  </si>
  <si>
    <t>2210102 Water and sewerage charges 2210102 Water and sewerage charges</t>
  </si>
  <si>
    <t>2210200 Communication, Supplies and Services 2210200 Communication, Supplies and Services</t>
  </si>
  <si>
    <t xml:space="preserve">2210201 Telephone, Telex, Facsimile and Mobile Phone Services </t>
  </si>
  <si>
    <t>2210300 Domestic Travel and Subsistence, and Other Transportation Costs 2210300 Domestic Travel and Subsistence, and Other Transportation Costs</t>
  </si>
  <si>
    <t xml:space="preserve">2210301 Travel Costs (airlines, bus, railway, mileage allowances, etc.) </t>
  </si>
  <si>
    <t xml:space="preserve">2210302 Accommodation - Domestic Travel </t>
  </si>
  <si>
    <t>2210309 Field Allowance 2210309 Field Allowance</t>
  </si>
  <si>
    <t>2210500 Printing , Advertising and Information Supplies and Services 2210500 Printing , Advertising and Information Supplies and Services</t>
  </si>
  <si>
    <t xml:space="preserve">2210502 Publishing and Printing Services </t>
  </si>
  <si>
    <t>2210503 Subscriptions to Newspapers, Magazines and Periodicals Annual subscriptions and licences</t>
  </si>
  <si>
    <t>2210700 Training Expenses 2210700 Training Expenses</t>
  </si>
  <si>
    <t>2210701 Travel Allowance 2210701 Travel Allowance</t>
  </si>
  <si>
    <t>2210702 Remuneration of Instructors and Contract Based Training Services 2210702 Remuneration of Instructors and Contract Based Training Services</t>
  </si>
  <si>
    <t>2210704 Hire of Training Facilities and Equipment 2210704 Hire of Training Facilities and Equipment</t>
  </si>
  <si>
    <t>2210705 Field Training Attachments 2210705 Field Training Attachments</t>
  </si>
  <si>
    <t xml:space="preserve">2210710 Accommodation Allowance </t>
  </si>
  <si>
    <t xml:space="preserve">2210711 Tuition Fees </t>
  </si>
  <si>
    <t>2210800 Hospitality Supplies and Services 2210800 Hospitality Supplies and Services</t>
  </si>
  <si>
    <t>2210801 Catering Services (receptions), Accommodation, Gifts, Food and Drinks 2210801 Catering Services (receptions), Accommodation, Gifts, Food and Drinks</t>
  </si>
  <si>
    <t>2210802 Boards, Committees, Conferences and Seminars 2210802 Boards, Committees, Conferences and Seminars</t>
  </si>
  <si>
    <t>2211100 Office and General Supplies and Services 2211100 Office and General Supplies and Services</t>
  </si>
  <si>
    <t>2211101 General Office Supplies (papers, pencils, forms, small office equipment 2211101 General Office Supplies (papers, pencils, forms, small office equipment</t>
  </si>
  <si>
    <t>2211103 Sanitary and Cleaning Materials, Supplies and Services 2211103 Sanitary and Cleaning Materials, Supplies and Services</t>
  </si>
  <si>
    <t>2211200 Fuel Oil and Lubricants 2211200 Fuel Oil and Lubricants</t>
  </si>
  <si>
    <t>2211201 Refined Fuels and Lubricants for Transport 2211201 Refined Fuels and Lubricants for Transport</t>
  </si>
  <si>
    <t>2211300 Other Operating Expenses 2211300 Other Operating Expenses</t>
  </si>
  <si>
    <t>2211306 Membership Fees, Dues and Subscriptions to Professional and Trade Bodies 2211306 Membership Fees, Dues and Subscriptions to Professional and Trade Bodies</t>
  </si>
  <si>
    <t>2220200 Routine Maintenance - Other Assets 2220200 Routine Maintenance - Other Assets</t>
  </si>
  <si>
    <t>2220210 Maintenance of Computers, Software, and Networks 2220210 Maintenance of Computers, Software, and Networks</t>
  </si>
  <si>
    <t>3111000 Purchase of Office Furniture and General Equipment 3111000 Purchase of Office Furniture and General Equipment</t>
  </si>
  <si>
    <t>3111002 Purchase of Computers, Printers and other IT Equipment 3111002 Purchase of Computers, Printers and other IT Equipment</t>
  </si>
  <si>
    <t>3111003 Purchase of Airconditioners, Fans and Heating Appliances 3111003 Purchase of Airconditioners, Fans and Heating Appliances</t>
  </si>
  <si>
    <t>Gross Expenditure..................... KShs. Gross Expenditure..................... KShs.</t>
  </si>
  <si>
    <t xml:space="preserve"> Grand total</t>
  </si>
  <si>
    <t>CODE SUB COUNTY ADMINISTRATION (DEVOLVED UNITS)</t>
  </si>
  <si>
    <t>2210801' Catering services,receptions</t>
  </si>
  <si>
    <t>2210802' Committes Boards and Conferances</t>
  </si>
  <si>
    <t>2211101' General Office Supplies (ie stationaries</t>
  </si>
  <si>
    <t>3111001' Purchase of Office Furniture and Fittings</t>
  </si>
  <si>
    <t>3111002' Purchase of Computers, Printers and other IT Equipment</t>
  </si>
  <si>
    <t xml:space="preserve"> TOTAL FOR RECURRENT</t>
  </si>
  <si>
    <t xml:space="preserve"> TOTAL RECURRENT BUDGET</t>
  </si>
  <si>
    <t xml:space="preserve">CODE DEVELOPMENT PROJECTS </t>
  </si>
  <si>
    <t xml:space="preserve"> DEVELOPMENT PROJECTS </t>
  </si>
  <si>
    <t>2410104 Supplier Credit</t>
  </si>
  <si>
    <t xml:space="preserve">3111504 Construction of Non-Residential buildings </t>
  </si>
  <si>
    <t xml:space="preserve"> TOTAL</t>
  </si>
  <si>
    <t xml:space="preserve"> TOTAL RECURRENT AND DEVELOPMENT PSM</t>
  </si>
  <si>
    <t>Grants</t>
  </si>
  <si>
    <t>Critical programmes</t>
  </si>
  <si>
    <t>O&amp;M</t>
  </si>
  <si>
    <t>Personnel</t>
  </si>
  <si>
    <t>Total allocation</t>
  </si>
  <si>
    <t>Percentage</t>
  </si>
  <si>
    <t>3110504 Other Infrastructure and Civil Works supplier credit</t>
  </si>
  <si>
    <t>Personnel emoluments</t>
  </si>
  <si>
    <t>Ward based</t>
  </si>
  <si>
    <t>Scenario 1</t>
  </si>
  <si>
    <t>S/no</t>
  </si>
  <si>
    <t>DESCRIPTION</t>
  </si>
  <si>
    <t>FINANCIAL REQUIREMENT</t>
  </si>
  <si>
    <t>BUDGET DEFICIT</t>
  </si>
  <si>
    <t>NOTES</t>
  </si>
  <si>
    <t>Provision</t>
  </si>
  <si>
    <t>Savings</t>
  </si>
  <si>
    <t>A. PERSONNEL COSTS</t>
  </si>
  <si>
    <r>
      <t xml:space="preserve">Actual gross pay to P &amp; P and contract staff FY 2026/27 including the </t>
    </r>
    <r>
      <rPr>
        <b/>
        <i/>
        <sz val="14"/>
        <color rgb="FF000000"/>
        <rFont val="Aptos Narrow"/>
        <family val="2"/>
      </rPr>
      <t>AUTOMATIC</t>
    </r>
    <r>
      <rPr>
        <sz val="14"/>
        <color rgb="FF000000"/>
        <rFont val="Aptos Narrow"/>
        <family val="2"/>
      </rPr>
      <t xml:space="preserve"> Implementation of phase II of 4th Remuneration and Benefits Review Cycles w.e.f 1st July 2026</t>
    </r>
  </si>
  <si>
    <t xml:space="preserve"> Estimated staff salaries from Jul 26 to Jun 27 </t>
  </si>
  <si>
    <t>Annual increment/Promotions</t>
  </si>
  <si>
    <t xml:space="preserve"> Provision for annual increments to existing staff </t>
  </si>
  <si>
    <t>Conversion of 673 Staff from Contract to Permanent Pensionable from the Department of Health</t>
  </si>
  <si>
    <t xml:space="preserve"> Additional costs to be inquired of current staff on contact in the department of Health are converted to P&amp;P</t>
  </si>
  <si>
    <t>Absorption of 463 casuals</t>
  </si>
  <si>
    <t xml:space="preserve"> Payment to 298 casuals not effected on payroll as at Feb. 2026 </t>
  </si>
  <si>
    <t>Recruitments of ECDE and VTC Teachers within the year FY 2026/2027</t>
  </si>
  <si>
    <t xml:space="preserve"> Provisions to recruit ECDE teachers, VTC instructors &amp; other officers in the department of Education </t>
  </si>
  <si>
    <t>Promotion of ECDE and VTC Teachers</t>
  </si>
  <si>
    <t xml:space="preserve"> Provision to promote ECDE &amp; VTC officers </t>
  </si>
  <si>
    <t>CHPs Co- Funding</t>
  </si>
  <si>
    <t xml:space="preserve"> Provision for co-funding to pay CHPs in compliance with guidelines </t>
  </si>
  <si>
    <t>Sub-total salaries FY 2026/27</t>
  </si>
  <si>
    <t>B. PENDING BILLS</t>
  </si>
  <si>
    <t>Implementation of phase II of 3rd Remuneration and Benefits Review Cycles and payment of arrears w.e.f 1st July 2024</t>
  </si>
  <si>
    <t xml:space="preserve"> Arrears for implementation of phase ii of 3rd review cycle meant to be affected in July 2024 </t>
  </si>
  <si>
    <t xml:space="preserve">CHPs stipend arrears from March 2025 to June 2025 </t>
  </si>
  <si>
    <t xml:space="preserve"> Unpaid stipend to CHPs for the months of March to June 2025 </t>
  </si>
  <si>
    <t>Implementation of phase I of 4th Remuneration and Benefits Review Cycles and payment of arrears 1st July 2025</t>
  </si>
  <si>
    <t xml:space="preserve"> Arrears for implementation of phase I of 4th review cycle meant to be affected in July 2025 </t>
  </si>
  <si>
    <t>Gratuity arrears from July 2017 - June 2023</t>
  </si>
  <si>
    <t xml:space="preserve"> Outstanding gratuity to former contractual staff </t>
  </si>
  <si>
    <t xml:space="preserve">Pension arrears </t>
  </si>
  <si>
    <t xml:space="preserve"> Outstanding pension arrears including penalties &amp; interests owed to LAPFUND &amp; LAPTRUST  </t>
  </si>
  <si>
    <t xml:space="preserve">Arrears to 463 casuals as per court order </t>
  </si>
  <si>
    <t xml:space="preserve"> 12 years 11 months arrears for 463 casuals at kshs.4,800 per person as per court ruling </t>
  </si>
  <si>
    <t>Non-remitted housing levy (July 2024)</t>
  </si>
  <si>
    <t xml:space="preserve">                                -   </t>
  </si>
  <si>
    <t xml:space="preserve"> outstanding housing levy for the month of July 2024 </t>
  </si>
  <si>
    <t>Sub-total pending bills (personnel emolument related)</t>
  </si>
  <si>
    <t>TOTAL PERSSONNEL EMMOLUMENTSS (A+B)</t>
  </si>
  <si>
    <t>Payment Strategy</t>
  </si>
  <si>
    <t>Garbage collection</t>
  </si>
  <si>
    <t>Exit from service  Savings</t>
  </si>
  <si>
    <t>Stagger recruitment</t>
  </si>
  <si>
    <t>Increase Local revenue Target</t>
  </si>
  <si>
    <t>Centralized programmes- bursary/ward based/ fertilizer/ fertilizer - G to G</t>
  </si>
  <si>
    <t xml:space="preserve">Ward- based policy- </t>
  </si>
  <si>
    <t>Grants allocation in development to be intesified to cater for some of the development programmes that cut across departments</t>
  </si>
  <si>
    <t>Recurrent /  Development Expenditure</t>
  </si>
  <si>
    <t>Item</t>
  </si>
  <si>
    <t>Requirement</t>
  </si>
  <si>
    <t>Allocation</t>
  </si>
  <si>
    <t>Deficit</t>
  </si>
  <si>
    <t>Salary</t>
  </si>
  <si>
    <t>Medical  insurance</t>
  </si>
  <si>
    <t xml:space="preserve">Co- funding </t>
  </si>
  <si>
    <t>KPLC</t>
  </si>
  <si>
    <t>Bursary allocation</t>
  </si>
  <si>
    <t>Seed/ Fertilizer</t>
  </si>
  <si>
    <t>Retension</t>
  </si>
  <si>
    <t>County assemly Dv.add</t>
  </si>
  <si>
    <t>Recurent Pending bills</t>
  </si>
  <si>
    <t>Grant</t>
  </si>
  <si>
    <t>Amref co funding</t>
  </si>
  <si>
    <t>reinstated</t>
  </si>
  <si>
    <t>.4*</t>
  </si>
  <si>
    <t xml:space="preserve">national government </t>
  </si>
  <si>
    <t>35M - 7m/ 3m</t>
  </si>
  <si>
    <t>Pending bills allocation</t>
  </si>
  <si>
    <t>Farm in puts and busary</t>
  </si>
  <si>
    <t>Reinstated</t>
  </si>
  <si>
    <t>COUNTY ASSEMBLY OF BUNGOMA</t>
  </si>
  <si>
    <t>ITEMIZED BUDGET ESTIMATES FY 2026-2027</t>
  </si>
  <si>
    <t>Item Description</t>
  </si>
  <si>
    <t>Estimates</t>
  </si>
  <si>
    <t>Projected</t>
  </si>
  <si>
    <t xml:space="preserve">Projected  </t>
  </si>
  <si>
    <t>2100000 COMPENSATION OF EMPLOYEES</t>
  </si>
  <si>
    <t>2110116 Basic Salaries - County Assembly Service</t>
  </si>
  <si>
    <t>2110299 Basic Wages - Temporary -Other</t>
  </si>
  <si>
    <t>2110304 Overtime - Civil Service</t>
  </si>
  <si>
    <t>2110310 Top-up Allowance</t>
  </si>
  <si>
    <t>2110325 Car Maintenance Allowance</t>
  </si>
  <si>
    <t>2110333 Management Support Allowance</t>
  </si>
  <si>
    <t>2110336 Car Purchase Allowance</t>
  </si>
  <si>
    <t>2110341 MCA Attendance</t>
  </si>
  <si>
    <t>2110399 Personal Allowances paid - Oth</t>
  </si>
  <si>
    <t>2110405 Telephone Allowance</t>
  </si>
  <si>
    <t>2120101 Employer Contributions to National Social Security Fund</t>
  </si>
  <si>
    <t>2120102 Employer Contributions to Local Government Security Fund</t>
  </si>
  <si>
    <t>2120103 Employer Contribution to Staff Pensions Scheme</t>
  </si>
  <si>
    <t>2120199 Employer Contributions to Compulsory National Social Security Schemes</t>
  </si>
  <si>
    <t>2120399 Employer Contributions to Social Security Funds and Schemes</t>
  </si>
  <si>
    <t>2200000 USE OF GOODS AND SERVICES</t>
  </si>
  <si>
    <t>2210299 Communication, Supplies - Othe</t>
  </si>
  <si>
    <t>2210304 Sundry Items (e.g. airport tax, taxis, etc…)</t>
  </si>
  <si>
    <t>2210399 Domestic Travel and Subs. - Others</t>
  </si>
  <si>
    <t>2210401 Travel Costs (airlines, bus, railway, etc.)</t>
  </si>
  <si>
    <t>2210403 Daily Subsistence Allowance</t>
  </si>
  <si>
    <t>2210703 Production and Printing of Training Materials</t>
  </si>
  <si>
    <t>2210712 Trainee Allowance</t>
  </si>
  <si>
    <t>2210809 Board Allowance</t>
  </si>
  <si>
    <t>2210902 Buildings Insurance</t>
  </si>
  <si>
    <t>2210999 Insurance costs - Other</t>
  </si>
  <si>
    <t>2211004 Fungicides, Insecticides and Sprays</t>
  </si>
  <si>
    <t>2211006 Purchase of Workshop Tools, Spares and Small Equipment</t>
  </si>
  <si>
    <t>2211011 Purchase / Production of Photographic and Audio Visual Materials</t>
  </si>
  <si>
    <t>2211031 Specialised Materials - Other</t>
  </si>
  <si>
    <t>2211032 Security seals, Toners/ Printers and Cetificates</t>
  </si>
  <si>
    <t>2211202 Refined Fuels and Lubricants for Production</t>
  </si>
  <si>
    <t>2211203 Refined Fuels and Lubricants -- Other</t>
  </si>
  <si>
    <t>2211305 Contracted Guards and Cleaning Services</t>
  </si>
  <si>
    <t>2211308 Legal Dues/fees, Arbitration and Compensation Payments</t>
  </si>
  <si>
    <t>2211309 Management Fees</t>
  </si>
  <si>
    <t>2211310 Contracted Professional Services</t>
  </si>
  <si>
    <t>2211323 Laundry Expenses</t>
  </si>
  <si>
    <t>2211325 Constituency Office Expenses</t>
  </si>
  <si>
    <t>2220105 Routine Maintenance - Vehicles</t>
  </si>
  <si>
    <t>2220212 Maintenance of Communications Equipment</t>
  </si>
  <si>
    <t>2700000 SOCIAL BENEFITS</t>
  </si>
  <si>
    <t>2710102 Gratuity - Civil Servants</t>
  </si>
  <si>
    <t>2710103 Gratuity - Members of Parliament</t>
  </si>
  <si>
    <t>3100000 ACQUISITION OF NON-FINANCIAL ASSETS (Recurrent)</t>
  </si>
  <si>
    <t>3111011 Purchase of Lighting Equipment</t>
  </si>
  <si>
    <t>3111109 Purchase of Educational Aids and Related Equipment</t>
  </si>
  <si>
    <r>
      <rPr>
        <sz val="8"/>
        <rFont val="Microsoft Sans Serif"/>
        <family val="2"/>
      </rPr>
      <t>3111111 Purchase of ICT networking and Communications Equipment</t>
    </r>
  </si>
  <si>
    <t>3100000 ACQUISITION OF NON-FINANCIAL ASSETS (Development)</t>
  </si>
  <si>
    <t>3110202 Non Residential Buildings (Offices, Schools, Hospitals, etc)</t>
  </si>
  <si>
    <t>3110701 Purchase of Motor Vehicle</t>
  </si>
  <si>
    <t>3111009 Purchase of other Office Equipment</t>
  </si>
  <si>
    <t>3111112 Purchase of Software</t>
  </si>
  <si>
    <t>GROSS EXPENDITURE              KShs.</t>
  </si>
  <si>
    <t xml:space="preserve">Department </t>
  </si>
  <si>
    <t>Reduction</t>
  </si>
  <si>
    <t>reduced fon recruitment figure</t>
  </si>
  <si>
    <t>150m</t>
  </si>
  <si>
    <t>reduced from additional pension</t>
  </si>
  <si>
    <t xml:space="preserve">58 m educed to provide for ward based projects </t>
  </si>
  <si>
    <t>BREHS</t>
  </si>
  <si>
    <t>2640503 BREHS</t>
  </si>
  <si>
    <t>Ward Based Projects</t>
  </si>
  <si>
    <t xml:space="preserve">Pending </t>
  </si>
  <si>
    <t>CFSP Allocation 2026</t>
  </si>
  <si>
    <t>Increase/Reduction</t>
  </si>
  <si>
    <t>Balance</t>
  </si>
  <si>
    <t>Percentage %</t>
  </si>
  <si>
    <t>Tourism and Environment</t>
  </si>
  <si>
    <t>Trade Energy &amp; Industrialization</t>
  </si>
  <si>
    <t>Public Service Management and Administration</t>
  </si>
  <si>
    <t>County Attorney</t>
  </si>
  <si>
    <t>Name of Sector</t>
  </si>
  <si>
    <t>Approved CFSP 2026</t>
  </si>
  <si>
    <t>Annual budget</t>
  </si>
  <si>
    <t>Variance</t>
  </si>
  <si>
    <t>Agriculture, Livestock, Fisheries, Irrigation and Cooperative Development</t>
  </si>
  <si>
    <t>Education and Vocational training</t>
  </si>
  <si>
    <t>Health sanitation</t>
  </si>
  <si>
    <t>Public Administration and ICT</t>
  </si>
  <si>
    <t>Sub-County Administration</t>
  </si>
  <si>
    <t>Trade, Energy and Industrialization</t>
  </si>
  <si>
    <t>Kimilili Municipal Board</t>
  </si>
  <si>
    <t>Bungoma Municipal Board</t>
  </si>
  <si>
    <t>Gender and Culture</t>
  </si>
  <si>
    <t>-</t>
  </si>
  <si>
    <t>Office of the Deputy Governor</t>
  </si>
  <si>
    <t>office of the county attorney</t>
  </si>
  <si>
    <t>pending bills</t>
  </si>
  <si>
    <t>Ward Based Project</t>
  </si>
  <si>
    <t>Additional Provision</t>
  </si>
  <si>
    <t>NEW ALLOCATION 29.5M @ WARD 2026/27</t>
  </si>
  <si>
    <t xml:space="preserve">2640503 REREC grant </t>
  </si>
  <si>
    <t xml:space="preserve">3111504 Other infrastructure and civil works </t>
  </si>
  <si>
    <t>3111011 Purchase of lighting equipment</t>
  </si>
  <si>
    <t>3110699 Overhaul of other infrustructure and civil works REREC CO-funding</t>
  </si>
  <si>
    <t>2410104 Project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</si>
</sst>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  <numFmt numFmtId="168" formatCode="#,##0;#,##0"/>
    <numFmt numFmtId="169" formatCode="#,##0;&quot;-&quot;#,##0"/>
    <numFmt numFmtId="170" formatCode="#,##0;&quot;(&quot;#,##0&quot;)&quot;"/>
    <numFmt numFmtId="171" formatCode="&quot;Gross Expenditure..................... KShs.&quot;"/>
    <numFmt numFmtId="172" formatCode="&quot;Net Expenditure..................... KShs.&quot;"/>
    <numFmt numFmtId="173" formatCode="&quot;  Gross Expenditure................... KShs.&quot;"/>
    <numFmt numFmtId="174" formatCode="_ * #,##0_ ;_ * \-#,##0_ ;_ * &quot;-&quot;??_ ;_ @_ "/>
    <numFmt numFmtId="175" formatCode="_-* #,##0_-;\-* #,##0_-;_-* &quot;-&quot;?_-;_-@_-"/>
    <numFmt numFmtId="176" formatCode="_(* #,##0.0_);_(* \(#,##0.0\);_(* &quot;-&quot;?_);_(@_)"/>
    <numFmt numFmtId="177" formatCode="0.0%"/>
    <numFmt numFmtId="178" formatCode="_(* #,##0.0_);_(* \(#,##0.0\);_(* &quot;-&quot;??_);_(@_)"/>
    <numFmt numFmtId="179" formatCode="0.0"/>
    <numFmt numFmtId="180" formatCode="_-* #,##0.0_-;\-* #,##0.0_-;_-* &quot;-&quot;?_-;_-@_-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ptos Narrow"/>
      <family val="2"/>
    </font>
    <font>
      <sz val="12"/>
      <name val="Aptos Narrow"/>
      <family val="2"/>
    </font>
    <font>
      <b/>
      <sz val="12"/>
      <name val="Apto narrow"/>
    </font>
    <font>
      <sz val="12"/>
      <name val="Times New Roman"/>
      <family val="1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Aptos Narrow"/>
      <family val="2"/>
    </font>
    <font>
      <b/>
      <sz val="11"/>
      <name val="Aptos Narrow"/>
      <family val="2"/>
    </font>
    <font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b/>
      <sz val="12"/>
      <color theme="1"/>
      <name val="Aptos Narrow"/>
      <family val="2"/>
    </font>
    <font>
      <i/>
      <sz val="12"/>
      <color rgb="FF000000"/>
      <name val="Aptos Narrow"/>
      <family val="2"/>
    </font>
    <font>
      <b/>
      <sz val="12"/>
      <name val="Apros narro"/>
    </font>
    <font>
      <sz val="11"/>
      <color theme="1"/>
      <name val="Apros narro"/>
    </font>
    <font>
      <sz val="12"/>
      <name val="Apros narro"/>
    </font>
    <font>
      <b/>
      <sz val="11"/>
      <color rgb="FF000000"/>
      <name val="Apros narro"/>
    </font>
    <font>
      <sz val="11"/>
      <color rgb="FF000000"/>
      <name val="Apros narro"/>
    </font>
    <font>
      <i/>
      <sz val="12"/>
      <name val="Apros narro"/>
    </font>
    <font>
      <b/>
      <i/>
      <sz val="12"/>
      <name val="Apros narro"/>
    </font>
    <font>
      <b/>
      <sz val="12"/>
      <color theme="1"/>
      <name val="Apros narro"/>
    </font>
    <font>
      <sz val="12"/>
      <color theme="1"/>
      <name val="Apros narro"/>
    </font>
    <font>
      <sz val="12"/>
      <color rgb="FF000000"/>
      <name val="Apros narro"/>
    </font>
    <font>
      <b/>
      <sz val="12"/>
      <color rgb="FF000000"/>
      <name val="Apros narro"/>
    </font>
    <font>
      <b/>
      <sz val="11"/>
      <color theme="1"/>
      <name val="Apros narro"/>
    </font>
    <font>
      <b/>
      <sz val="12"/>
      <color theme="1"/>
      <name val="Aptos Naro"/>
    </font>
    <font>
      <sz val="11"/>
      <color theme="1"/>
      <name val="Aptos Naro"/>
    </font>
    <font>
      <sz val="12"/>
      <color theme="1"/>
      <name val="Aptos Naro"/>
    </font>
    <font>
      <b/>
      <sz val="11"/>
      <name val="Aptos Naro"/>
    </font>
    <font>
      <b/>
      <sz val="11"/>
      <color theme="1"/>
      <name val="Aptos Naro"/>
    </font>
    <font>
      <sz val="11"/>
      <name val="Aptos Naro"/>
    </font>
    <font>
      <sz val="11"/>
      <color rgb="FF000000"/>
      <name val="Aptos Naro"/>
    </font>
    <font>
      <b/>
      <sz val="11"/>
      <color rgb="FF000000"/>
      <name val="Aptos Naro"/>
    </font>
    <font>
      <sz val="11"/>
      <color rgb="FFFF0000"/>
      <name val="Aptos Naro"/>
    </font>
    <font>
      <b/>
      <i/>
      <sz val="12"/>
      <color theme="1"/>
      <name val="Aptos Naro"/>
    </font>
    <font>
      <b/>
      <i/>
      <sz val="12"/>
      <name val="Aptos Naro"/>
    </font>
    <font>
      <b/>
      <sz val="12"/>
      <color indexed="8"/>
      <name val="Aptos Narrow"/>
      <family val="2"/>
    </font>
    <font>
      <b/>
      <i/>
      <sz val="12"/>
      <color theme="1"/>
      <name val="Aptos Narrow"/>
      <family val="2"/>
    </font>
    <font>
      <sz val="12"/>
      <color rgb="FFFF0000"/>
      <name val="Aptos Narrow"/>
      <family val="2"/>
    </font>
    <font>
      <b/>
      <u/>
      <sz val="12"/>
      <name val="Aptos Narrow"/>
      <family val="2"/>
    </font>
    <font>
      <b/>
      <i/>
      <sz val="12"/>
      <color rgb="FF000000"/>
      <name val="Aptos Narrow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ptos Narrow"/>
      <family val="2"/>
    </font>
    <font>
      <sz val="14"/>
      <color rgb="FF000000"/>
      <name val="Aptos Narrow"/>
      <family val="2"/>
    </font>
    <font>
      <b/>
      <i/>
      <sz val="14"/>
      <color rgb="FF000000"/>
      <name val="Aptos Narrow"/>
      <family val="2"/>
    </font>
    <font>
      <sz val="14"/>
      <color theme="1"/>
      <name val="Aptos Narrow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ptos Narrow"/>
      <family val="2"/>
    </font>
    <font>
      <b/>
      <sz val="12"/>
      <color rgb="FFFF0000"/>
      <name val="Aptos Narrow"/>
      <family val="2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b/>
      <sz val="12"/>
      <color theme="4"/>
      <name val="Georgia"/>
      <family val="1"/>
    </font>
    <font>
      <sz val="12"/>
      <color theme="4"/>
      <name val="Georgia"/>
      <family val="1"/>
    </font>
    <font>
      <sz val="8"/>
      <name val="Microsoft Sans Serif"/>
      <family val="2"/>
    </font>
    <font>
      <sz val="12"/>
      <color indexed="8"/>
      <name val="Aptos Narrow"/>
      <family val="2"/>
    </font>
    <font>
      <sz val="12"/>
      <color theme="0"/>
      <name val="Aptos Narrow"/>
      <family val="2"/>
    </font>
    <font>
      <b/>
      <sz val="12"/>
      <color theme="0"/>
      <name val="Aptos Narrow"/>
      <family val="2"/>
    </font>
    <font>
      <sz val="14"/>
      <color theme="0"/>
      <name val="Calibri"/>
      <family val="2"/>
      <scheme val="minor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Aptos Narrow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0.14999847407452621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ADB9CA"/>
        <bgColor rgb="FFADB9CA"/>
      </patternFill>
    </fill>
    <fill>
      <patternFill patternType="solid">
        <fgColor theme="4" tint="0.59999389629810485"/>
        <bgColor rgb="FF00B0F0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0B0F0"/>
      </patternFill>
    </fill>
    <fill>
      <patternFill patternType="solid">
        <fgColor theme="0"/>
        <bgColor theme="9" tint="0.79995117038483843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>
      <protection locked="0"/>
    </xf>
    <xf numFmtId="165" fontId="14" fillId="0" borderId="0">
      <alignment vertical="top"/>
      <protection locked="0"/>
    </xf>
    <xf numFmtId="43" fontId="14" fillId="0" borderId="0">
      <alignment vertical="top"/>
      <protection locked="0"/>
    </xf>
    <xf numFmtId="9" fontId="2" fillId="0" borderId="0" applyFont="0" applyFill="0" applyBorder="0" applyAlignment="0" applyProtection="0"/>
  </cellStyleXfs>
  <cellXfs count="764">
    <xf numFmtId="0" fontId="0" fillId="0" borderId="0" xfId="0"/>
    <xf numFmtId="0" fontId="5" fillId="4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3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left" vertical="top" wrapText="1"/>
    </xf>
    <xf numFmtId="37" fontId="4" fillId="4" borderId="17" xfId="0" applyNumberFormat="1" applyFont="1" applyFill="1" applyBorder="1" applyAlignment="1">
      <alignment horizontal="right" vertical="top" wrapText="1"/>
    </xf>
    <xf numFmtId="0" fontId="5" fillId="4" borderId="17" xfId="0" applyFont="1" applyFill="1" applyBorder="1" applyAlignment="1">
      <alignment horizontal="left" vertical="top" wrapText="1"/>
    </xf>
    <xf numFmtId="169" fontId="5" fillId="4" borderId="17" xfId="0" applyNumberFormat="1" applyFont="1" applyFill="1" applyBorder="1" applyAlignment="1">
      <alignment horizontal="right" vertical="top" wrapText="1"/>
    </xf>
    <xf numFmtId="37" fontId="5" fillId="4" borderId="18" xfId="0" applyNumberFormat="1" applyFont="1" applyFill="1" applyBorder="1" applyAlignment="1">
      <alignment horizontal="right" vertical="top" wrapText="1"/>
    </xf>
    <xf numFmtId="37" fontId="5" fillId="4" borderId="17" xfId="0" applyNumberFormat="1" applyFont="1" applyFill="1" applyBorder="1" applyAlignment="1">
      <alignment horizontal="right" vertical="top" wrapText="1"/>
    </xf>
    <xf numFmtId="169" fontId="4" fillId="4" borderId="16" xfId="0" applyNumberFormat="1" applyFont="1" applyFill="1" applyBorder="1" applyAlignment="1">
      <alignment horizontal="right" vertical="top" wrapText="1"/>
    </xf>
    <xf numFmtId="169" fontId="4" fillId="4" borderId="19" xfId="0" applyNumberFormat="1" applyFont="1" applyFill="1" applyBorder="1" applyAlignment="1">
      <alignment horizontal="right" vertical="top" wrapText="1"/>
    </xf>
    <xf numFmtId="169" fontId="5" fillId="4" borderId="18" xfId="0" applyNumberFormat="1" applyFont="1" applyFill="1" applyBorder="1" applyAlignment="1">
      <alignment horizontal="right" vertical="top" wrapText="1"/>
    </xf>
    <xf numFmtId="0" fontId="5" fillId="4" borderId="20" xfId="0" applyFont="1" applyFill="1" applyBorder="1" applyAlignment="1">
      <alignment horizontal="left" vertical="top" wrapText="1"/>
    </xf>
    <xf numFmtId="166" fontId="6" fillId="4" borderId="12" xfId="1" applyNumberFormat="1" applyFont="1" applyFill="1" applyBorder="1" applyAlignment="1">
      <alignment horizontal="right" vertical="top"/>
    </xf>
    <xf numFmtId="0" fontId="5" fillId="4" borderId="16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169" fontId="4" fillId="4" borderId="21" xfId="0" applyNumberFormat="1" applyFont="1" applyFill="1" applyBorder="1" applyAlignment="1">
      <alignment horizontal="righ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right" vertical="top" wrapText="1"/>
    </xf>
    <xf numFmtId="169" fontId="5" fillId="4" borderId="0" xfId="0" applyNumberFormat="1" applyFont="1" applyFill="1" applyAlignment="1">
      <alignment vertical="top"/>
    </xf>
    <xf numFmtId="174" fontId="5" fillId="4" borderId="0" xfId="1" applyNumberFormat="1" applyFont="1" applyFill="1" applyBorder="1" applyAlignment="1">
      <alignment horizontal="center" vertical="top" wrapText="1"/>
    </xf>
    <xf numFmtId="174" fontId="5" fillId="4" borderId="17" xfId="1" applyNumberFormat="1" applyFont="1" applyFill="1" applyBorder="1" applyAlignment="1">
      <alignment horizontal="right" vertical="top" wrapText="1"/>
    </xf>
    <xf numFmtId="174" fontId="4" fillId="4" borderId="17" xfId="1" applyNumberFormat="1" applyFont="1" applyFill="1" applyBorder="1" applyAlignment="1">
      <alignment horizontal="right" vertical="top" wrapText="1"/>
    </xf>
    <xf numFmtId="0" fontId="4" fillId="4" borderId="18" xfId="0" applyFont="1" applyFill="1" applyBorder="1" applyAlignment="1">
      <alignment horizontal="right" vertical="top" wrapText="1"/>
    </xf>
    <xf numFmtId="169" fontId="4" fillId="4" borderId="22" xfId="0" applyNumberFormat="1" applyFont="1" applyFill="1" applyBorder="1" applyAlignment="1">
      <alignment horizontal="right" vertical="top" wrapText="1"/>
    </xf>
    <xf numFmtId="169" fontId="4" fillId="4" borderId="23" xfId="0" applyNumberFormat="1" applyFont="1" applyFill="1" applyBorder="1" applyAlignment="1">
      <alignment horizontal="right" vertical="top" wrapText="1"/>
    </xf>
    <xf numFmtId="0" fontId="5" fillId="4" borderId="24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horizontal="right" vertical="top" wrapText="1"/>
    </xf>
    <xf numFmtId="37" fontId="4" fillId="4" borderId="16" xfId="0" applyNumberFormat="1" applyFont="1" applyFill="1" applyBorder="1" applyAlignment="1">
      <alignment horizontal="right" vertical="top" wrapText="1"/>
    </xf>
    <xf numFmtId="37" fontId="4" fillId="4" borderId="0" xfId="0" applyNumberFormat="1" applyFont="1" applyFill="1" applyAlignment="1">
      <alignment vertical="top"/>
    </xf>
    <xf numFmtId="0" fontId="8" fillId="11" borderId="20" xfId="0" applyFont="1" applyFill="1" applyBorder="1" applyAlignment="1">
      <alignment horizontal="left" wrapText="1"/>
    </xf>
    <xf numFmtId="0" fontId="8" fillId="11" borderId="17" xfId="0" applyFont="1" applyFill="1" applyBorder="1" applyAlignment="1">
      <alignment horizontal="left" wrapText="1"/>
    </xf>
    <xf numFmtId="0" fontId="8" fillId="11" borderId="3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vertical="top" wrapText="1"/>
    </xf>
    <xf numFmtId="0" fontId="8" fillId="11" borderId="3" xfId="0" applyFont="1" applyFill="1" applyBorder="1" applyAlignment="1">
      <alignment horizontal="center" vertical="top" wrapText="1"/>
    </xf>
    <xf numFmtId="0" fontId="8" fillId="11" borderId="2" xfId="0" applyFont="1" applyFill="1" applyBorder="1" applyAlignment="1">
      <alignment horizontal="left" vertical="top" wrapText="1"/>
    </xf>
    <xf numFmtId="0" fontId="8" fillId="11" borderId="3" xfId="0" applyFont="1" applyFill="1" applyBorder="1" applyAlignment="1">
      <alignment horizontal="left" vertical="top" wrapText="1"/>
    </xf>
    <xf numFmtId="0" fontId="8" fillId="11" borderId="8" xfId="0" applyFont="1" applyFill="1" applyBorder="1" applyAlignment="1">
      <alignment horizontal="left" wrapText="1"/>
    </xf>
    <xf numFmtId="0" fontId="8" fillId="11" borderId="7" xfId="0" applyFont="1" applyFill="1" applyBorder="1" applyAlignment="1">
      <alignment horizontal="left" wrapText="1"/>
    </xf>
    <xf numFmtId="37" fontId="8" fillId="11" borderId="3" xfId="0" applyNumberFormat="1" applyFont="1" applyFill="1" applyBorder="1" applyAlignment="1">
      <alignment horizontal="right" wrapText="1"/>
    </xf>
    <xf numFmtId="0" fontId="9" fillId="11" borderId="8" xfId="0" applyFont="1" applyFill="1" applyBorder="1" applyAlignment="1">
      <alignment horizontal="left" wrapText="1"/>
    </xf>
    <xf numFmtId="0" fontId="9" fillId="11" borderId="7" xfId="0" applyFont="1" applyFill="1" applyBorder="1" applyAlignment="1">
      <alignment horizontal="left" wrapText="1"/>
    </xf>
    <xf numFmtId="169" fontId="9" fillId="11" borderId="3" xfId="0" applyNumberFormat="1" applyFont="1" applyFill="1" applyBorder="1" applyAlignment="1">
      <alignment horizontal="right" wrapText="1"/>
    </xf>
    <xf numFmtId="37" fontId="9" fillId="11" borderId="3" xfId="0" applyNumberFormat="1" applyFont="1" applyFill="1" applyBorder="1" applyAlignment="1">
      <alignment horizontal="right" wrapText="1"/>
    </xf>
    <xf numFmtId="169" fontId="8" fillId="11" borderId="3" xfId="0" applyNumberFormat="1" applyFont="1" applyFill="1" applyBorder="1" applyAlignment="1">
      <alignment horizontal="right" wrapText="1"/>
    </xf>
    <xf numFmtId="0" fontId="8" fillId="11" borderId="4" xfId="0" applyFont="1" applyFill="1" applyBorder="1" applyAlignment="1">
      <alignment horizontal="left" wrapText="1"/>
    </xf>
    <xf numFmtId="0" fontId="8" fillId="11" borderId="3" xfId="0" applyFont="1" applyFill="1" applyBorder="1" applyAlignment="1">
      <alignment horizontal="left" wrapText="1"/>
    </xf>
    <xf numFmtId="0" fontId="9" fillId="11" borderId="3" xfId="0" applyFont="1" applyFill="1" applyBorder="1" applyAlignment="1">
      <alignment horizontal="left" wrapText="1"/>
    </xf>
    <xf numFmtId="0" fontId="8" fillId="11" borderId="8" xfId="0" applyFont="1" applyFill="1" applyBorder="1" applyAlignment="1">
      <alignment horizontal="left" vertical="top" wrapText="1"/>
    </xf>
    <xf numFmtId="0" fontId="8" fillId="11" borderId="7" xfId="0" applyFont="1" applyFill="1" applyBorder="1" applyAlignment="1">
      <alignment horizontal="left" vertical="top" wrapText="1"/>
    </xf>
    <xf numFmtId="37" fontId="9" fillId="11" borderId="3" xfId="0" applyNumberFormat="1" applyFont="1" applyFill="1" applyBorder="1" applyAlignment="1">
      <alignment horizontal="right" vertical="top" wrapText="1"/>
    </xf>
    <xf numFmtId="0" fontId="9" fillId="11" borderId="8" xfId="0" applyFont="1" applyFill="1" applyBorder="1" applyAlignment="1">
      <alignment horizontal="left" vertical="top" wrapText="1"/>
    </xf>
    <xf numFmtId="0" fontId="9" fillId="11" borderId="7" xfId="0" applyFont="1" applyFill="1" applyBorder="1" applyAlignment="1">
      <alignment horizontal="left" vertical="top" wrapText="1"/>
    </xf>
    <xf numFmtId="169" fontId="8" fillId="11" borderId="3" xfId="0" applyNumberFormat="1" applyFont="1" applyFill="1" applyBorder="1" applyAlignment="1">
      <alignment horizontal="right" vertical="top" wrapText="1"/>
    </xf>
    <xf numFmtId="0" fontId="9" fillId="11" borderId="4" xfId="0" applyFont="1" applyFill="1" applyBorder="1" applyAlignment="1">
      <alignment horizontal="left" vertical="top" wrapText="1"/>
    </xf>
    <xf numFmtId="0" fontId="8" fillId="11" borderId="3" xfId="0" applyFont="1" applyFill="1" applyBorder="1" applyAlignment="1">
      <alignment horizontal="right" vertical="top" wrapText="1"/>
    </xf>
    <xf numFmtId="0" fontId="8" fillId="11" borderId="3" xfId="0" applyFont="1" applyFill="1" applyBorder="1" applyAlignment="1">
      <alignment horizontal="right" wrapText="1"/>
    </xf>
    <xf numFmtId="0" fontId="9" fillId="11" borderId="3" xfId="0" applyFont="1" applyFill="1" applyBorder="1" applyAlignment="1">
      <alignment horizontal="center" vertical="top" wrapText="1"/>
    </xf>
    <xf numFmtId="0" fontId="13" fillId="11" borderId="7" xfId="0" applyFont="1" applyFill="1" applyBorder="1" applyAlignment="1">
      <alignment horizontal="left" wrapText="1"/>
    </xf>
    <xf numFmtId="169" fontId="9" fillId="4" borderId="3" xfId="0" applyNumberFormat="1" applyFont="1" applyFill="1" applyBorder="1" applyAlignment="1">
      <alignment horizontal="right" wrapText="1"/>
    </xf>
    <xf numFmtId="0" fontId="9" fillId="0" borderId="3" xfId="0" applyFont="1" applyBorder="1"/>
    <xf numFmtId="37" fontId="8" fillId="11" borderId="3" xfId="0" applyNumberFormat="1" applyFont="1" applyFill="1" applyBorder="1" applyAlignment="1">
      <alignment horizontal="right" vertical="top" wrapText="1"/>
    </xf>
    <xf numFmtId="0" fontId="9" fillId="11" borderId="3" xfId="0" applyFont="1" applyFill="1" applyBorder="1" applyAlignment="1">
      <alignment horizontal="left" vertical="top" wrapText="1"/>
    </xf>
    <xf numFmtId="169" fontId="9" fillId="11" borderId="3" xfId="0" applyNumberFormat="1" applyFont="1" applyFill="1" applyBorder="1" applyAlignment="1">
      <alignment horizontal="right" vertical="top" wrapText="1"/>
    </xf>
    <xf numFmtId="0" fontId="7" fillId="0" borderId="3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169" fontId="0" fillId="0" borderId="0" xfId="0" applyNumberFormat="1"/>
    <xf numFmtId="0" fontId="8" fillId="11" borderId="4" xfId="0" applyFont="1" applyFill="1" applyBorder="1" applyAlignment="1">
      <alignment horizontal="left" vertical="top" wrapText="1"/>
    </xf>
    <xf numFmtId="0" fontId="9" fillId="11" borderId="27" xfId="0" applyFont="1" applyFill="1" applyBorder="1" applyAlignment="1">
      <alignment horizontal="left" vertical="top" wrapText="1"/>
    </xf>
    <xf numFmtId="0" fontId="9" fillId="11" borderId="28" xfId="0" applyFont="1" applyFill="1" applyBorder="1" applyAlignment="1">
      <alignment horizontal="left" vertical="top" wrapText="1"/>
    </xf>
    <xf numFmtId="37" fontId="8" fillId="11" borderId="3" xfId="0" applyNumberFormat="1" applyFont="1" applyFill="1" applyBorder="1" applyAlignment="1">
      <alignment horizontal="left" vertical="top" wrapText="1"/>
    </xf>
    <xf numFmtId="169" fontId="9" fillId="11" borderId="3" xfId="0" applyNumberFormat="1" applyFont="1" applyFill="1" applyBorder="1" applyAlignment="1">
      <alignment horizontal="left" vertical="top" wrapText="1"/>
    </xf>
    <xf numFmtId="37" fontId="9" fillId="11" borderId="3" xfId="0" applyNumberFormat="1" applyFont="1" applyFill="1" applyBorder="1" applyAlignment="1">
      <alignment horizontal="left" vertical="top" wrapText="1"/>
    </xf>
    <xf numFmtId="169" fontId="8" fillId="11" borderId="3" xfId="0" applyNumberFormat="1" applyFont="1" applyFill="1" applyBorder="1" applyAlignment="1">
      <alignment horizontal="left" vertical="top" wrapText="1"/>
    </xf>
    <xf numFmtId="37" fontId="10" fillId="11" borderId="3" xfId="0" applyNumberFormat="1" applyFont="1" applyFill="1" applyBorder="1" applyAlignment="1">
      <alignment horizontal="left" vertical="top" wrapText="1"/>
    </xf>
    <xf numFmtId="0" fontId="9" fillId="11" borderId="29" xfId="0" applyFont="1" applyFill="1" applyBorder="1" applyAlignment="1">
      <alignment horizontal="left" vertical="top" wrapText="1"/>
    </xf>
    <xf numFmtId="0" fontId="9" fillId="11" borderId="30" xfId="0" applyFont="1" applyFill="1" applyBorder="1" applyAlignment="1">
      <alignment horizontal="left" vertical="top" wrapText="1"/>
    </xf>
    <xf numFmtId="0" fontId="4" fillId="12" borderId="16" xfId="0" applyFont="1" applyFill="1" applyBorder="1" applyAlignment="1">
      <alignment horizontal="center" vertical="top" wrapText="1"/>
    </xf>
    <xf numFmtId="0" fontId="4" fillId="12" borderId="3" xfId="0" applyFont="1" applyFill="1" applyBorder="1" applyAlignment="1">
      <alignment vertical="top" wrapText="1"/>
    </xf>
    <xf numFmtId="0" fontId="4" fillId="12" borderId="3" xfId="0" applyFont="1" applyFill="1" applyBorder="1" applyAlignment="1">
      <alignment horizontal="center" vertical="top" wrapText="1"/>
    </xf>
    <xf numFmtId="0" fontId="8" fillId="12" borderId="20" xfId="0" applyFont="1" applyFill="1" applyBorder="1" applyAlignment="1">
      <alignment horizontal="left" vertical="top" wrapText="1"/>
    </xf>
    <xf numFmtId="0" fontId="8" fillId="12" borderId="17" xfId="0" applyFont="1" applyFill="1" applyBorder="1" applyAlignment="1">
      <alignment horizontal="left" vertical="top" wrapText="1"/>
    </xf>
    <xf numFmtId="0" fontId="8" fillId="12" borderId="3" xfId="0" applyFont="1" applyFill="1" applyBorder="1" applyAlignment="1">
      <alignment horizontal="left" vertical="top" wrapText="1"/>
    </xf>
    <xf numFmtId="0" fontId="8" fillId="12" borderId="3" xfId="0" applyFont="1" applyFill="1" applyBorder="1" applyAlignment="1">
      <alignment horizontal="center" wrapText="1"/>
    </xf>
    <xf numFmtId="0" fontId="8" fillId="12" borderId="3" xfId="0" applyFont="1" applyFill="1" applyBorder="1" applyAlignment="1">
      <alignment vertical="top" wrapText="1"/>
    </xf>
    <xf numFmtId="0" fontId="9" fillId="12" borderId="3" xfId="0" applyFont="1" applyFill="1" applyBorder="1" applyAlignment="1">
      <alignment horizontal="center" vertical="top" wrapText="1"/>
    </xf>
    <xf numFmtId="0" fontId="9" fillId="0" borderId="0" xfId="0" applyFont="1"/>
    <xf numFmtId="0" fontId="18" fillId="0" borderId="3" xfId="0" applyFont="1" applyBorder="1"/>
    <xf numFmtId="0" fontId="4" fillId="2" borderId="3" xfId="0" applyFont="1" applyFill="1" applyBorder="1" applyAlignment="1">
      <alignment wrapText="1" readingOrder="1"/>
    </xf>
    <xf numFmtId="166" fontId="4" fillId="0" borderId="3" xfId="1" applyNumberFormat="1" applyFont="1" applyBorder="1"/>
    <xf numFmtId="166" fontId="5" fillId="0" borderId="3" xfId="1" applyNumberFormat="1" applyFont="1" applyBorder="1"/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 readingOrder="1"/>
    </xf>
    <xf numFmtId="0" fontId="4" fillId="0" borderId="3" xfId="0" applyFont="1" applyBorder="1" applyAlignment="1">
      <alignment horizontal="left" wrapText="1"/>
    </xf>
    <xf numFmtId="166" fontId="4" fillId="0" borderId="7" xfId="0" applyNumberFormat="1" applyFont="1" applyBorder="1" applyAlignment="1">
      <alignment horizontal="left" wrapText="1" readingOrder="1"/>
    </xf>
    <xf numFmtId="166" fontId="4" fillId="0" borderId="3" xfId="0" applyNumberFormat="1" applyFont="1" applyBorder="1" applyAlignment="1">
      <alignment horizontal="left" wrapText="1" readingOrder="1"/>
    </xf>
    <xf numFmtId="0" fontId="5" fillId="0" borderId="3" xfId="0" applyFont="1" applyBorder="1" applyAlignment="1">
      <alignment horizontal="left" wrapText="1"/>
    </xf>
    <xf numFmtId="166" fontId="5" fillId="0" borderId="7" xfId="0" applyNumberFormat="1" applyFont="1" applyBorder="1" applyAlignment="1">
      <alignment horizontal="left" wrapText="1" readingOrder="1"/>
    </xf>
    <xf numFmtId="166" fontId="5" fillId="0" borderId="3" xfId="0" applyNumberFormat="1" applyFont="1" applyBorder="1" applyAlignment="1">
      <alignment horizontal="left" wrapText="1" readingOrder="1"/>
    </xf>
    <xf numFmtId="166" fontId="5" fillId="0" borderId="7" xfId="1" applyNumberFormat="1" applyFont="1" applyBorder="1" applyAlignment="1">
      <alignment horizontal="left"/>
    </xf>
    <xf numFmtId="166" fontId="5" fillId="0" borderId="3" xfId="1" applyNumberFormat="1" applyFont="1" applyBorder="1" applyAlignment="1">
      <alignment horizontal="left"/>
    </xf>
    <xf numFmtId="0" fontId="5" fillId="0" borderId="8" xfId="0" applyFont="1" applyBorder="1" applyAlignment="1">
      <alignment horizontal="left" wrapText="1"/>
    </xf>
    <xf numFmtId="166" fontId="5" fillId="0" borderId="8" xfId="1" applyNumberFormat="1" applyFont="1" applyFill="1" applyBorder="1" applyAlignment="1">
      <alignment horizontal="left"/>
    </xf>
    <xf numFmtId="0" fontId="5" fillId="0" borderId="3" xfId="0" applyFont="1" applyBorder="1" applyAlignment="1">
      <alignment wrapText="1" readingOrder="1"/>
    </xf>
    <xf numFmtId="0" fontId="5" fillId="0" borderId="3" xfId="0" applyFont="1" applyBorder="1" applyAlignment="1">
      <alignment horizontal="left"/>
    </xf>
    <xf numFmtId="166" fontId="4" fillId="0" borderId="7" xfId="1" applyNumberFormat="1" applyFont="1" applyFill="1" applyBorder="1" applyAlignment="1">
      <alignment horizontal="left" wrapText="1" readingOrder="1"/>
    </xf>
    <xf numFmtId="166" fontId="4" fillId="0" borderId="3" xfId="1" applyNumberFormat="1" applyFont="1" applyFill="1" applyBorder="1" applyAlignment="1">
      <alignment horizontal="left" wrapText="1" readingOrder="1"/>
    </xf>
    <xf numFmtId="0" fontId="20" fillId="0" borderId="0" xfId="0" applyFont="1"/>
    <xf numFmtId="166" fontId="20" fillId="0" borderId="0" xfId="0" applyNumberFormat="1" applyFont="1"/>
    <xf numFmtId="166" fontId="4" fillId="0" borderId="3" xfId="1" applyNumberFormat="1" applyFont="1" applyBorder="1" applyAlignment="1">
      <alignment horizontal="left"/>
    </xf>
    <xf numFmtId="166" fontId="5" fillId="0" borderId="0" xfId="1" applyNumberFormat="1" applyFont="1" applyAlignment="1">
      <alignment horizontal="left"/>
    </xf>
    <xf numFmtId="166" fontId="4" fillId="0" borderId="0" xfId="1" applyNumberFormat="1" applyFont="1" applyAlignment="1">
      <alignment horizontal="left"/>
    </xf>
    <xf numFmtId="0" fontId="21" fillId="12" borderId="3" xfId="0" applyFont="1" applyFill="1" applyBorder="1" applyAlignment="1">
      <alignment horizontal="left" vertical="top" wrapText="1"/>
    </xf>
    <xf numFmtId="167" fontId="4" fillId="13" borderId="3" xfId="1" applyNumberFormat="1" applyFont="1" applyFill="1" applyBorder="1" applyAlignment="1">
      <alignment horizontal="left" vertical="top" wrapText="1"/>
    </xf>
    <xf numFmtId="166" fontId="4" fillId="13" borderId="3" xfId="0" applyNumberFormat="1" applyFont="1" applyFill="1" applyBorder="1" applyAlignment="1">
      <alignment horizontal="left" vertical="top" wrapText="1"/>
    </xf>
    <xf numFmtId="0" fontId="21" fillId="0" borderId="3" xfId="0" applyFont="1" applyBorder="1" applyAlignment="1">
      <alignment horizontal="left" wrapText="1"/>
    </xf>
    <xf numFmtId="167" fontId="21" fillId="0" borderId="3" xfId="1" applyNumberFormat="1" applyFont="1" applyBorder="1" applyAlignment="1">
      <alignment horizontal="left"/>
    </xf>
    <xf numFmtId="3" fontId="21" fillId="0" borderId="3" xfId="0" applyNumberFormat="1" applyFont="1" applyBorder="1" applyAlignment="1">
      <alignment horizontal="left"/>
    </xf>
    <xf numFmtId="0" fontId="22" fillId="0" borderId="3" xfId="0" applyFont="1" applyBorder="1" applyAlignment="1">
      <alignment horizontal="left" wrapText="1"/>
    </xf>
    <xf numFmtId="167" fontId="22" fillId="0" borderId="3" xfId="1" applyNumberFormat="1" applyFont="1" applyBorder="1" applyAlignment="1">
      <alignment horizontal="left"/>
    </xf>
    <xf numFmtId="166" fontId="20" fillId="0" borderId="3" xfId="1" applyNumberFormat="1" applyFont="1" applyBorder="1" applyAlignment="1">
      <alignment horizontal="left" wrapText="1"/>
    </xf>
    <xf numFmtId="0" fontId="22" fillId="0" borderId="3" xfId="0" applyFont="1" applyBorder="1" applyAlignment="1">
      <alignment horizontal="left" wrapText="1" readingOrder="1"/>
    </xf>
    <xf numFmtId="3" fontId="5" fillId="0" borderId="3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 wrapText="1" readingOrder="1"/>
    </xf>
    <xf numFmtId="165" fontId="21" fillId="0" borderId="3" xfId="0" applyNumberFormat="1" applyFont="1" applyBorder="1" applyAlignment="1">
      <alignment horizontal="left"/>
    </xf>
    <xf numFmtId="166" fontId="23" fillId="0" borderId="3" xfId="1" applyNumberFormat="1" applyFont="1" applyBorder="1" applyAlignment="1">
      <alignment horizontal="left" wrapText="1"/>
    </xf>
    <xf numFmtId="3" fontId="4" fillId="0" borderId="3" xfId="0" applyNumberFormat="1" applyFont="1" applyBorder="1" applyAlignment="1">
      <alignment horizontal="left"/>
    </xf>
    <xf numFmtId="3" fontId="21" fillId="0" borderId="3" xfId="0" applyNumberFormat="1" applyFont="1" applyBorder="1" applyAlignment="1">
      <alignment horizontal="left" wrapText="1"/>
    </xf>
    <xf numFmtId="3" fontId="22" fillId="0" borderId="3" xfId="0" applyNumberFormat="1" applyFont="1" applyBorder="1" applyAlignment="1">
      <alignment horizontal="left" wrapText="1"/>
    </xf>
    <xf numFmtId="0" fontId="22" fillId="0" borderId="3" xfId="0" applyFont="1" applyBorder="1" applyAlignment="1">
      <alignment horizontal="left"/>
    </xf>
    <xf numFmtId="166" fontId="21" fillId="0" borderId="3" xfId="0" applyNumberFormat="1" applyFont="1" applyBorder="1" applyAlignment="1">
      <alignment horizontal="left" wrapText="1"/>
    </xf>
    <xf numFmtId="166" fontId="22" fillId="0" borderId="3" xfId="0" applyNumberFormat="1" applyFont="1" applyBorder="1" applyAlignment="1">
      <alignment horizontal="left" wrapText="1"/>
    </xf>
    <xf numFmtId="0" fontId="22" fillId="3" borderId="3" xfId="0" applyFont="1" applyFill="1" applyBorder="1" applyAlignment="1">
      <alignment horizontal="left" wrapText="1" readingOrder="1"/>
    </xf>
    <xf numFmtId="166" fontId="21" fillId="0" borderId="3" xfId="0" applyNumberFormat="1" applyFont="1" applyBorder="1" applyAlignment="1">
      <alignment horizontal="left"/>
    </xf>
    <xf numFmtId="167" fontId="21" fillId="0" borderId="3" xfId="1" applyNumberFormat="1" applyFont="1" applyBorder="1" applyAlignment="1">
      <alignment horizontal="left" wrapText="1"/>
    </xf>
    <xf numFmtId="0" fontId="23" fillId="0" borderId="3" xfId="0" applyFont="1" applyBorder="1" applyAlignment="1">
      <alignment horizontal="left"/>
    </xf>
    <xf numFmtId="167" fontId="23" fillId="0" borderId="3" xfId="1" applyNumberFormat="1" applyFont="1" applyBorder="1" applyAlignment="1">
      <alignment horizontal="left"/>
    </xf>
    <xf numFmtId="166" fontId="23" fillId="0" borderId="3" xfId="0" applyNumberFormat="1" applyFont="1" applyBorder="1" applyAlignment="1">
      <alignment horizontal="left"/>
    </xf>
    <xf numFmtId="0" fontId="23" fillId="12" borderId="3" xfId="0" applyFont="1" applyFill="1" applyBorder="1" applyAlignment="1">
      <alignment vertical="top" wrapText="1"/>
    </xf>
    <xf numFmtId="166" fontId="4" fillId="12" borderId="3" xfId="1" applyNumberFormat="1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169" fontId="21" fillId="4" borderId="3" xfId="0" applyNumberFormat="1" applyFont="1" applyFill="1" applyBorder="1" applyAlignment="1">
      <alignment horizontal="right" vertical="top"/>
    </xf>
    <xf numFmtId="0" fontId="20" fillId="4" borderId="3" xfId="0" applyFont="1" applyFill="1" applyBorder="1" applyAlignment="1">
      <alignment vertical="top" wrapText="1"/>
    </xf>
    <xf numFmtId="169" fontId="22" fillId="4" borderId="3" xfId="0" applyNumberFormat="1" applyFont="1" applyFill="1" applyBorder="1" applyAlignment="1">
      <alignment horizontal="right" vertical="top"/>
    </xf>
    <xf numFmtId="167" fontId="20" fillId="4" borderId="3" xfId="1" applyNumberFormat="1" applyFont="1" applyFill="1" applyBorder="1" applyAlignment="1">
      <alignment vertical="top"/>
    </xf>
    <xf numFmtId="170" fontId="21" fillId="4" borderId="3" xfId="0" applyNumberFormat="1" applyFont="1" applyFill="1" applyBorder="1" applyAlignment="1">
      <alignment horizontal="right" vertical="top"/>
    </xf>
    <xf numFmtId="169" fontId="5" fillId="4" borderId="3" xfId="0" applyNumberFormat="1" applyFont="1" applyFill="1" applyBorder="1" applyAlignment="1">
      <alignment horizontal="right" vertical="top"/>
    </xf>
    <xf numFmtId="170" fontId="22" fillId="4" borderId="3" xfId="0" applyNumberFormat="1" applyFont="1" applyFill="1" applyBorder="1" applyAlignment="1">
      <alignment horizontal="right" vertical="top"/>
    </xf>
    <xf numFmtId="3" fontId="23" fillId="4" borderId="3" xfId="0" applyNumberFormat="1" applyFont="1" applyFill="1" applyBorder="1" applyAlignment="1">
      <alignment vertical="top"/>
    </xf>
    <xf numFmtId="3" fontId="20" fillId="4" borderId="3" xfId="0" applyNumberFormat="1" applyFont="1" applyFill="1" applyBorder="1" applyAlignment="1">
      <alignment vertical="top"/>
    </xf>
    <xf numFmtId="168" fontId="22" fillId="4" borderId="3" xfId="0" quotePrefix="1" applyNumberFormat="1" applyFont="1" applyFill="1" applyBorder="1" applyAlignment="1">
      <alignment horizontal="left" vertical="top" wrapText="1"/>
    </xf>
    <xf numFmtId="171" fontId="21" fillId="4" borderId="3" xfId="0" quotePrefix="1" applyNumberFormat="1" applyFont="1" applyFill="1" applyBorder="1" applyAlignment="1">
      <alignment horizontal="left" vertical="top" wrapText="1"/>
    </xf>
    <xf numFmtId="169" fontId="4" fillId="4" borderId="3" xfId="0" applyNumberFormat="1" applyFont="1" applyFill="1" applyBorder="1" applyAlignment="1">
      <alignment horizontal="right" vertical="top"/>
    </xf>
    <xf numFmtId="172" fontId="21" fillId="4" borderId="3" xfId="0" quotePrefix="1" applyNumberFormat="1" applyFont="1" applyFill="1" applyBorder="1" applyAlignment="1">
      <alignment horizontal="left" vertical="top" wrapText="1"/>
    </xf>
    <xf numFmtId="167" fontId="23" fillId="4" borderId="3" xfId="1" applyNumberFormat="1" applyFont="1" applyFill="1" applyBorder="1" applyAlignment="1">
      <alignment vertical="top"/>
    </xf>
    <xf numFmtId="173" fontId="21" fillId="4" borderId="3" xfId="0" quotePrefix="1" applyNumberFormat="1" applyFont="1" applyFill="1" applyBorder="1" applyAlignment="1">
      <alignment horizontal="left" vertical="top" wrapText="1"/>
    </xf>
    <xf numFmtId="169" fontId="23" fillId="4" borderId="3" xfId="0" applyNumberFormat="1" applyFont="1" applyFill="1" applyBorder="1" applyAlignment="1">
      <alignment vertical="top"/>
    </xf>
    <xf numFmtId="166" fontId="23" fillId="4" borderId="3" xfId="1" applyNumberFormat="1" applyFont="1" applyFill="1" applyBorder="1" applyAlignment="1">
      <alignment vertical="top"/>
    </xf>
    <xf numFmtId="0" fontId="26" fillId="0" borderId="0" xfId="0" applyFont="1"/>
    <xf numFmtId="167" fontId="25" fillId="16" borderId="3" xfId="0" applyNumberFormat="1" applyFont="1" applyFill="1" applyBorder="1" applyAlignment="1">
      <alignment wrapText="1"/>
    </xf>
    <xf numFmtId="0" fontId="25" fillId="16" borderId="3" xfId="0" applyFont="1" applyFill="1" applyBorder="1" applyAlignment="1">
      <alignment wrapText="1"/>
    </xf>
    <xf numFmtId="167" fontId="25" fillId="4" borderId="3" xfId="3" applyNumberFormat="1" applyFont="1" applyFill="1" applyBorder="1" applyAlignment="1" applyProtection="1">
      <alignment wrapText="1"/>
    </xf>
    <xf numFmtId="166" fontId="25" fillId="11" borderId="3" xfId="3" applyNumberFormat="1" applyFont="1" applyFill="1" applyBorder="1" applyAlignment="1" applyProtection="1">
      <alignment wrapText="1"/>
    </xf>
    <xf numFmtId="167" fontId="27" fillId="4" borderId="3" xfId="3" applyNumberFormat="1" applyFont="1" applyFill="1" applyBorder="1" applyAlignment="1" applyProtection="1"/>
    <xf numFmtId="166" fontId="27" fillId="11" borderId="3" xfId="3" applyNumberFormat="1" applyFont="1" applyFill="1" applyBorder="1" applyAlignment="1" applyProtection="1">
      <alignment wrapText="1"/>
    </xf>
    <xf numFmtId="167" fontId="28" fillId="4" borderId="3" xfId="1" applyNumberFormat="1" applyFont="1" applyFill="1" applyBorder="1" applyAlignment="1" applyProtection="1">
      <protection locked="0"/>
    </xf>
    <xf numFmtId="167" fontId="29" fillId="4" borderId="3" xfId="1" applyNumberFormat="1" applyFont="1" applyFill="1" applyBorder="1" applyAlignment="1" applyProtection="1">
      <protection locked="0"/>
    </xf>
    <xf numFmtId="167" fontId="27" fillId="4" borderId="3" xfId="3" applyNumberFormat="1" applyFont="1" applyFill="1" applyBorder="1" applyAlignment="1" applyProtection="1">
      <alignment wrapText="1"/>
    </xf>
    <xf numFmtId="167" fontId="25" fillId="4" borderId="3" xfId="0" applyNumberFormat="1" applyFont="1" applyFill="1" applyBorder="1" applyAlignment="1">
      <alignment horizontal="left"/>
    </xf>
    <xf numFmtId="167" fontId="27" fillId="4" borderId="3" xfId="0" applyNumberFormat="1" applyFont="1" applyFill="1" applyBorder="1" applyAlignment="1">
      <alignment horizontal="left"/>
    </xf>
    <xf numFmtId="167" fontId="29" fillId="0" borderId="3" xfId="1" applyNumberFormat="1" applyFont="1" applyBorder="1" applyAlignment="1" applyProtection="1">
      <protection locked="0"/>
    </xf>
    <xf numFmtId="167" fontId="25" fillId="4" borderId="3" xfId="0" applyNumberFormat="1" applyFont="1" applyFill="1" applyBorder="1" applyAlignment="1">
      <alignment wrapText="1"/>
    </xf>
    <xf numFmtId="0" fontId="25" fillId="11" borderId="3" xfId="0" applyFont="1" applyFill="1" applyBorder="1" applyAlignment="1">
      <alignment wrapText="1"/>
    </xf>
    <xf numFmtId="167" fontId="30" fillId="4" borderId="3" xfId="3" applyNumberFormat="1" applyFont="1" applyFill="1" applyBorder="1" applyAlignment="1" applyProtection="1">
      <alignment wrapText="1"/>
    </xf>
    <xf numFmtId="167" fontId="30" fillId="4" borderId="3" xfId="0" applyNumberFormat="1" applyFont="1" applyFill="1" applyBorder="1"/>
    <xf numFmtId="167" fontId="25" fillId="4" borderId="3" xfId="3" applyNumberFormat="1" applyFont="1" applyFill="1" applyBorder="1" applyAlignment="1" applyProtection="1"/>
    <xf numFmtId="166" fontId="25" fillId="11" borderId="3" xfId="3" applyNumberFormat="1" applyFont="1" applyFill="1" applyBorder="1" applyAlignment="1" applyProtection="1"/>
    <xf numFmtId="167" fontId="31" fillId="4" borderId="3" xfId="3" applyNumberFormat="1" applyFont="1" applyFill="1" applyBorder="1" applyAlignment="1" applyProtection="1">
      <alignment wrapText="1"/>
    </xf>
    <xf numFmtId="166" fontId="31" fillId="11" borderId="3" xfId="3" applyNumberFormat="1" applyFont="1" applyFill="1" applyBorder="1" applyAlignment="1" applyProtection="1">
      <alignment wrapText="1"/>
    </xf>
    <xf numFmtId="167" fontId="31" fillId="4" borderId="3" xfId="3" applyNumberFormat="1" applyFont="1" applyFill="1" applyBorder="1" applyAlignment="1" applyProtection="1"/>
    <xf numFmtId="166" fontId="31" fillId="11" borderId="3" xfId="3" applyNumberFormat="1" applyFont="1" applyFill="1" applyBorder="1" applyAlignment="1" applyProtection="1"/>
    <xf numFmtId="170" fontId="28" fillId="11" borderId="3" xfId="0" applyNumberFormat="1" applyFont="1" applyFill="1" applyBorder="1" applyAlignment="1">
      <alignment horizontal="right"/>
    </xf>
    <xf numFmtId="166" fontId="27" fillId="11" borderId="3" xfId="3" applyNumberFormat="1" applyFont="1" applyFill="1" applyBorder="1" applyAlignment="1" applyProtection="1"/>
    <xf numFmtId="170" fontId="29" fillId="11" borderId="3" xfId="0" applyNumberFormat="1" applyFont="1" applyFill="1" applyBorder="1" applyAlignment="1">
      <alignment horizontal="right"/>
    </xf>
    <xf numFmtId="165" fontId="26" fillId="0" borderId="3" xfId="1" applyFont="1" applyBorder="1" applyAlignment="1" applyProtection="1">
      <protection locked="0"/>
    </xf>
    <xf numFmtId="167" fontId="32" fillId="4" borderId="5" xfId="1" applyNumberFormat="1" applyFont="1" applyFill="1" applyBorder="1" applyAlignment="1" applyProtection="1">
      <protection locked="0"/>
    </xf>
    <xf numFmtId="167" fontId="33" fillId="4" borderId="5" xfId="1" applyNumberFormat="1" applyFont="1" applyFill="1" applyBorder="1" applyAlignment="1" applyProtection="1">
      <protection locked="0"/>
    </xf>
    <xf numFmtId="167" fontId="27" fillId="4" borderId="5" xfId="1" applyNumberFormat="1" applyFont="1" applyFill="1" applyBorder="1" applyAlignment="1" applyProtection="1">
      <alignment wrapText="1"/>
      <protection locked="0"/>
    </xf>
    <xf numFmtId="167" fontId="25" fillId="4" borderId="5" xfId="1" applyNumberFormat="1" applyFont="1" applyFill="1" applyBorder="1" applyAlignment="1" applyProtection="1">
      <alignment wrapText="1"/>
      <protection locked="0"/>
    </xf>
    <xf numFmtId="167" fontId="27" fillId="4" borderId="0" xfId="1" applyNumberFormat="1" applyFont="1" applyFill="1" applyAlignment="1" applyProtection="1">
      <protection locked="0"/>
    </xf>
    <xf numFmtId="165" fontId="27" fillId="11" borderId="3" xfId="0" applyNumberFormat="1" applyFont="1" applyFill="1" applyBorder="1" applyAlignment="1">
      <alignment wrapText="1"/>
    </xf>
    <xf numFmtId="167" fontId="34" fillId="4" borderId="3" xfId="1" applyNumberFormat="1" applyFont="1" applyFill="1" applyBorder="1" applyAlignment="1" applyProtection="1"/>
    <xf numFmtId="167" fontId="35" fillId="4" borderId="3" xfId="1" applyNumberFormat="1" applyFont="1" applyFill="1" applyBorder="1" applyAlignment="1" applyProtection="1"/>
    <xf numFmtId="165" fontId="25" fillId="11" borderId="3" xfId="0" applyNumberFormat="1" applyFont="1" applyFill="1" applyBorder="1" applyAlignment="1">
      <alignment wrapText="1"/>
    </xf>
    <xf numFmtId="0" fontId="27" fillId="11" borderId="3" xfId="0" applyFont="1" applyFill="1" applyBorder="1" applyAlignment="1">
      <alignment wrapText="1"/>
    </xf>
    <xf numFmtId="167" fontId="34" fillId="4" borderId="3" xfId="0" applyNumberFormat="1" applyFont="1" applyFill="1" applyBorder="1"/>
    <xf numFmtId="167" fontId="27" fillId="4" borderId="0" xfId="0" applyNumberFormat="1" applyFont="1" applyFill="1"/>
    <xf numFmtId="167" fontId="27" fillId="4" borderId="3" xfId="0" applyNumberFormat="1" applyFont="1" applyFill="1" applyBorder="1" applyAlignment="1">
      <alignment wrapText="1"/>
    </xf>
    <xf numFmtId="167" fontId="27" fillId="4" borderId="0" xfId="3" applyNumberFormat="1" applyFont="1" applyFill="1" applyAlignment="1" applyProtection="1"/>
    <xf numFmtId="167" fontId="25" fillId="4" borderId="3" xfId="3" applyNumberFormat="1" applyFont="1" applyFill="1" applyBorder="1" applyAlignment="1" applyProtection="1">
      <alignment horizontal="left" wrapText="1"/>
    </xf>
    <xf numFmtId="167" fontId="27" fillId="4" borderId="3" xfId="3" applyNumberFormat="1" applyFont="1" applyFill="1" applyBorder="1" applyAlignment="1" applyProtection="1">
      <alignment horizontal="left" wrapText="1"/>
    </xf>
    <xf numFmtId="43" fontId="27" fillId="11" borderId="3" xfId="3" applyFont="1" applyFill="1" applyBorder="1" applyAlignment="1" applyProtection="1">
      <alignment horizontal="left" wrapText="1"/>
    </xf>
    <xf numFmtId="167" fontId="25" fillId="4" borderId="3" xfId="5" applyNumberFormat="1" applyFont="1" applyFill="1" applyBorder="1" applyAlignment="1" applyProtection="1">
      <alignment wrapText="1"/>
    </xf>
    <xf numFmtId="167" fontId="26" fillId="4" borderId="3" xfId="6" applyNumberFormat="1" applyFont="1" applyFill="1" applyBorder="1" applyAlignment="1">
      <protection locked="0"/>
    </xf>
    <xf numFmtId="164" fontId="27" fillId="17" borderId="3" xfId="0" applyNumberFormat="1" applyFont="1" applyFill="1" applyBorder="1" applyAlignment="1">
      <alignment horizontal="left"/>
    </xf>
    <xf numFmtId="166" fontId="27" fillId="4" borderId="3" xfId="3" applyNumberFormat="1" applyFont="1" applyFill="1" applyBorder="1" applyAlignment="1" applyProtection="1">
      <alignment wrapText="1"/>
    </xf>
    <xf numFmtId="167" fontId="25" fillId="4" borderId="0" xfId="3" applyNumberFormat="1" applyFont="1" applyFill="1" applyAlignment="1" applyProtection="1"/>
    <xf numFmtId="167" fontId="34" fillId="4" borderId="3" xfId="6" applyNumberFormat="1" applyFont="1" applyFill="1" applyBorder="1" applyAlignment="1" applyProtection="1"/>
    <xf numFmtId="167" fontId="28" fillId="4" borderId="3" xfId="7" applyNumberFormat="1" applyFont="1" applyFill="1" applyBorder="1" applyAlignment="1">
      <protection locked="0"/>
    </xf>
    <xf numFmtId="167" fontId="29" fillId="4" borderId="3" xfId="7" applyNumberFormat="1" applyFont="1" applyFill="1" applyBorder="1" applyAlignment="1">
      <protection locked="0"/>
    </xf>
    <xf numFmtId="167" fontId="34" fillId="4" borderId="3" xfId="3" applyNumberFormat="1" applyFont="1" applyFill="1" applyBorder="1" applyAlignment="1" applyProtection="1"/>
    <xf numFmtId="167" fontId="27" fillId="4" borderId="3" xfId="0" applyNumberFormat="1" applyFont="1" applyFill="1" applyBorder="1"/>
    <xf numFmtId="167" fontId="36" fillId="4" borderId="3" xfId="1" applyNumberFormat="1" applyFont="1" applyFill="1" applyBorder="1" applyAlignment="1" applyProtection="1">
      <protection locked="0"/>
    </xf>
    <xf numFmtId="167" fontId="26" fillId="4" borderId="3" xfId="1" applyNumberFormat="1" applyFont="1" applyFill="1" applyBorder="1" applyAlignment="1" applyProtection="1">
      <protection locked="0"/>
    </xf>
    <xf numFmtId="167" fontId="25" fillId="4" borderId="7" xfId="0" applyNumberFormat="1" applyFont="1" applyFill="1" applyBorder="1" applyAlignment="1">
      <alignment wrapText="1"/>
    </xf>
    <xf numFmtId="166" fontId="25" fillId="11" borderId="7" xfId="0" applyNumberFormat="1" applyFont="1" applyFill="1" applyBorder="1" applyAlignment="1">
      <alignment wrapText="1"/>
    </xf>
    <xf numFmtId="166" fontId="27" fillId="11" borderId="0" xfId="3" applyNumberFormat="1" applyFont="1" applyFill="1" applyAlignment="1" applyProtection="1"/>
    <xf numFmtId="166" fontId="30" fillId="11" borderId="3" xfId="3" applyNumberFormat="1" applyFont="1" applyFill="1" applyBorder="1" applyAlignment="1" applyProtection="1"/>
    <xf numFmtId="167" fontId="31" fillId="4" borderId="4" xfId="3" applyNumberFormat="1" applyFont="1" applyFill="1" applyBorder="1" applyAlignment="1" applyProtection="1"/>
    <xf numFmtId="165" fontId="31" fillId="11" borderId="3" xfId="0" applyNumberFormat="1" applyFont="1" applyFill="1" applyBorder="1" applyAlignment="1">
      <alignment wrapText="1"/>
    </xf>
    <xf numFmtId="0" fontId="38" fillId="0" borderId="0" xfId="0" applyFont="1"/>
    <xf numFmtId="0" fontId="40" fillId="12" borderId="3" xfId="0" applyFont="1" applyFill="1" applyBorder="1" applyAlignment="1">
      <alignment horizontal="center" vertical="top" wrapText="1"/>
    </xf>
    <xf numFmtId="0" fontId="41" fillId="12" borderId="3" xfId="0" applyFont="1" applyFill="1" applyBorder="1" applyAlignment="1">
      <alignment horizontal="center" vertical="top" wrapText="1" readingOrder="1"/>
    </xf>
    <xf numFmtId="0" fontId="40" fillId="0" borderId="3" xfId="0" applyFont="1" applyBorder="1" applyAlignment="1">
      <alignment vertical="top" wrapText="1"/>
    </xf>
    <xf numFmtId="166" fontId="40" fillId="0" borderId="3" xfId="0" applyNumberFormat="1" applyFont="1" applyBorder="1" applyAlignment="1">
      <alignment vertical="top" wrapText="1" readingOrder="1"/>
    </xf>
    <xf numFmtId="0" fontId="42" fillId="0" borderId="3" xfId="0" applyFont="1" applyBorder="1" applyAlignment="1">
      <alignment vertical="top" wrapText="1" readingOrder="1"/>
    </xf>
    <xf numFmtId="166" fontId="42" fillId="0" borderId="3" xfId="0" applyNumberFormat="1" applyFont="1" applyBorder="1" applyAlignment="1">
      <alignment vertical="top" wrapText="1" readingOrder="1"/>
    </xf>
    <xf numFmtId="3" fontId="40" fillId="0" borderId="3" xfId="0" applyNumberFormat="1" applyFont="1" applyBorder="1" applyAlignment="1">
      <alignment vertical="top" wrapText="1"/>
    </xf>
    <xf numFmtId="165" fontId="42" fillId="0" borderId="3" xfId="1" applyFont="1" applyFill="1" applyBorder="1" applyAlignment="1">
      <alignment vertical="top" wrapText="1" readingOrder="1"/>
    </xf>
    <xf numFmtId="0" fontId="40" fillId="0" borderId="3" xfId="0" applyFont="1" applyBorder="1" applyAlignment="1" applyProtection="1">
      <alignment vertical="top" wrapText="1"/>
      <protection locked="0"/>
    </xf>
    <xf numFmtId="0" fontId="40" fillId="0" borderId="3" xfId="0" applyFont="1" applyBorder="1" applyAlignment="1">
      <alignment vertical="top" wrapText="1" readingOrder="1"/>
    </xf>
    <xf numFmtId="0" fontId="43" fillId="0" borderId="3" xfId="0" applyFont="1" applyBorder="1" applyAlignment="1">
      <alignment vertical="top" wrapText="1" readingOrder="1"/>
    </xf>
    <xf numFmtId="0" fontId="43" fillId="0" borderId="3" xfId="2" applyFont="1" applyBorder="1" applyAlignment="1">
      <alignment vertical="top" wrapText="1" readingOrder="1"/>
    </xf>
    <xf numFmtId="165" fontId="42" fillId="0" borderId="3" xfId="1" applyFont="1" applyBorder="1" applyAlignment="1">
      <alignment vertical="top" wrapText="1" readingOrder="1"/>
    </xf>
    <xf numFmtId="3" fontId="44" fillId="0" borderId="3" xfId="0" applyNumberFormat="1" applyFont="1" applyBorder="1" applyAlignment="1">
      <alignment horizontal="left" vertical="top" wrapText="1"/>
    </xf>
    <xf numFmtId="0" fontId="43" fillId="3" borderId="3" xfId="0" applyFont="1" applyFill="1" applyBorder="1" applyAlignment="1">
      <alignment horizontal="left" vertical="top" wrapText="1" readingOrder="1"/>
    </xf>
    <xf numFmtId="0" fontId="42" fillId="0" borderId="3" xfId="0" applyFont="1" applyBorder="1" applyAlignment="1">
      <alignment horizontal="left" vertical="top" wrapText="1" readingOrder="1"/>
    </xf>
    <xf numFmtId="165" fontId="40" fillId="0" borderId="3" xfId="0" applyNumberFormat="1" applyFont="1" applyBorder="1" applyAlignment="1">
      <alignment vertical="top" wrapText="1" readingOrder="1"/>
    </xf>
    <xf numFmtId="0" fontId="40" fillId="0" borderId="3" xfId="0" applyFont="1" applyBorder="1" applyAlignment="1">
      <alignment horizontal="left" vertical="top" wrapText="1" readingOrder="1"/>
    </xf>
    <xf numFmtId="167" fontId="43" fillId="0" borderId="3" xfId="1" applyNumberFormat="1" applyFont="1" applyFill="1" applyBorder="1" applyAlignment="1">
      <alignment horizontal="right" vertical="top"/>
    </xf>
    <xf numFmtId="166" fontId="45" fillId="0" borderId="3" xfId="0" applyNumberFormat="1" applyFont="1" applyBorder="1" applyAlignment="1">
      <alignment vertical="top" wrapText="1" readingOrder="1"/>
    </xf>
    <xf numFmtId="0" fontId="38" fillId="0" borderId="3" xfId="0" applyFont="1" applyBorder="1" applyAlignment="1">
      <alignment vertical="top" wrapText="1"/>
    </xf>
    <xf numFmtId="165" fontId="40" fillId="0" borderId="3" xfId="1" applyFont="1" applyFill="1" applyBorder="1" applyAlignment="1">
      <alignment vertical="top" wrapText="1" readingOrder="1"/>
    </xf>
    <xf numFmtId="166" fontId="46" fillId="0" borderId="3" xfId="1" applyNumberFormat="1" applyFont="1" applyFill="1" applyBorder="1" applyAlignment="1">
      <alignment vertical="top"/>
    </xf>
    <xf numFmtId="166" fontId="47" fillId="0" borderId="3" xfId="0" applyNumberFormat="1" applyFont="1" applyBorder="1" applyAlignment="1">
      <alignment vertical="top" wrapText="1" readingOrder="1"/>
    </xf>
    <xf numFmtId="165" fontId="47" fillId="0" borderId="3" xfId="0" applyNumberFormat="1" applyFont="1" applyBorder="1" applyAlignment="1">
      <alignment vertical="top" wrapText="1" readingOrder="1"/>
    </xf>
    <xf numFmtId="0" fontId="23" fillId="4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wrapText="1"/>
    </xf>
    <xf numFmtId="0" fontId="23" fillId="4" borderId="6" xfId="0" applyFont="1" applyFill="1" applyBorder="1" applyAlignment="1">
      <alignment wrapText="1"/>
    </xf>
    <xf numFmtId="166" fontId="23" fillId="12" borderId="3" xfId="3" applyNumberFormat="1" applyFont="1" applyFill="1" applyBorder="1" applyAlignment="1">
      <alignment horizontal="left" vertical="top" wrapText="1"/>
    </xf>
    <xf numFmtId="166" fontId="23" fillId="12" borderId="3" xfId="3" applyNumberFormat="1" applyFont="1" applyFill="1" applyBorder="1" applyAlignment="1">
      <alignment horizontal="center" vertical="top" wrapText="1"/>
    </xf>
    <xf numFmtId="0" fontId="23" fillId="12" borderId="3" xfId="0" applyFont="1" applyFill="1" applyBorder="1" applyAlignment="1">
      <alignment horizontal="center" vertical="top" wrapText="1"/>
    </xf>
    <xf numFmtId="166" fontId="4" fillId="4" borderId="3" xfId="3" applyNumberFormat="1" applyFont="1" applyFill="1" applyBorder="1" applyAlignment="1">
      <alignment horizontal="left" vertical="top"/>
    </xf>
    <xf numFmtId="166" fontId="4" fillId="4" borderId="3" xfId="3" applyNumberFormat="1" applyFont="1" applyFill="1" applyBorder="1" applyAlignment="1">
      <alignment horizontal="right" vertical="top"/>
    </xf>
    <xf numFmtId="166" fontId="5" fillId="4" borderId="3" xfId="3" applyNumberFormat="1" applyFont="1" applyFill="1" applyBorder="1" applyAlignment="1">
      <alignment horizontal="left" vertical="top"/>
    </xf>
    <xf numFmtId="166" fontId="5" fillId="4" borderId="3" xfId="3" applyNumberFormat="1" applyFont="1" applyFill="1" applyBorder="1" applyAlignment="1">
      <alignment horizontal="right" vertical="top"/>
    </xf>
    <xf numFmtId="3" fontId="5" fillId="4" borderId="3" xfId="0" applyNumberFormat="1" applyFont="1" applyFill="1" applyBorder="1" applyAlignment="1">
      <alignment horizontal="right" vertical="top"/>
    </xf>
    <xf numFmtId="3" fontId="4" fillId="4" borderId="3" xfId="0" applyNumberFormat="1" applyFont="1" applyFill="1" applyBorder="1" applyAlignment="1">
      <alignment horizontal="right" vertical="top"/>
    </xf>
    <xf numFmtId="166" fontId="20" fillId="4" borderId="3" xfId="3" applyNumberFormat="1" applyFont="1" applyFill="1" applyBorder="1" applyAlignment="1">
      <alignment horizontal="left" vertical="top"/>
    </xf>
    <xf numFmtId="166" fontId="20" fillId="4" borderId="3" xfId="3" applyNumberFormat="1" applyFont="1" applyFill="1" applyBorder="1" applyAlignment="1">
      <alignment horizontal="right" vertical="top"/>
    </xf>
    <xf numFmtId="3" fontId="20" fillId="4" borderId="0" xfId="0" applyNumberFormat="1" applyFont="1" applyFill="1" applyAlignment="1">
      <alignment horizontal="left"/>
    </xf>
    <xf numFmtId="3" fontId="20" fillId="4" borderId="0" xfId="0" applyNumberFormat="1" applyFont="1" applyFill="1"/>
    <xf numFmtId="0" fontId="20" fillId="4" borderId="6" xfId="0" applyFont="1" applyFill="1" applyBorder="1" applyAlignment="1">
      <alignment horizontal="left" vertical="top"/>
    </xf>
    <xf numFmtId="0" fontId="20" fillId="4" borderId="6" xfId="0" applyFont="1" applyFill="1" applyBorder="1" applyAlignment="1">
      <alignment vertical="top"/>
    </xf>
    <xf numFmtId="0" fontId="20" fillId="4" borderId="7" xfId="0" applyFont="1" applyFill="1" applyBorder="1" applyAlignment="1">
      <alignment vertical="top"/>
    </xf>
    <xf numFmtId="167" fontId="5" fillId="4" borderId="3" xfId="3" applyNumberFormat="1" applyFont="1" applyFill="1" applyBorder="1" applyAlignment="1">
      <alignment horizontal="left"/>
    </xf>
    <xf numFmtId="167" fontId="5" fillId="4" borderId="3" xfId="3" applyNumberFormat="1" applyFont="1" applyFill="1" applyBorder="1"/>
    <xf numFmtId="166" fontId="4" fillId="4" borderId="3" xfId="0" applyNumberFormat="1" applyFont="1" applyFill="1" applyBorder="1" applyAlignment="1">
      <alignment horizontal="right" vertical="top"/>
    </xf>
    <xf numFmtId="166" fontId="23" fillId="4" borderId="3" xfId="0" applyNumberFormat="1" applyFont="1" applyFill="1" applyBorder="1" applyAlignment="1">
      <alignment horizontal="left" vertical="top"/>
    </xf>
    <xf numFmtId="166" fontId="23" fillId="4" borderId="3" xfId="0" applyNumberFormat="1" applyFont="1" applyFill="1" applyBorder="1" applyAlignment="1">
      <alignment horizontal="right" vertical="top"/>
    </xf>
    <xf numFmtId="166" fontId="23" fillId="4" borderId="0" xfId="0" applyNumberFormat="1" applyFont="1" applyFill="1" applyAlignment="1">
      <alignment horizontal="left" vertical="top"/>
    </xf>
    <xf numFmtId="166" fontId="23" fillId="4" borderId="0" xfId="0" applyNumberFormat="1" applyFont="1" applyFill="1" applyAlignment="1">
      <alignment horizontal="right" vertical="top"/>
    </xf>
    <xf numFmtId="166" fontId="4" fillId="4" borderId="4" xfId="3" applyNumberFormat="1" applyFont="1" applyFill="1" applyBorder="1" applyAlignment="1">
      <alignment horizontal="left" vertical="top"/>
    </xf>
    <xf numFmtId="166" fontId="4" fillId="4" borderId="4" xfId="3" applyNumberFormat="1" applyFont="1" applyFill="1" applyBorder="1" applyAlignment="1">
      <alignment horizontal="right" vertical="top"/>
    </xf>
    <xf numFmtId="0" fontId="20" fillId="4" borderId="0" xfId="0" applyFont="1" applyFill="1" applyAlignment="1">
      <alignment horizontal="left"/>
    </xf>
    <xf numFmtId="0" fontId="20" fillId="4" borderId="0" xfId="0" applyFont="1" applyFill="1"/>
    <xf numFmtId="0" fontId="48" fillId="4" borderId="6" xfId="0" applyFont="1" applyFill="1" applyBorder="1" applyAlignment="1" applyProtection="1">
      <alignment horizontal="left" vertical="center" wrapText="1"/>
      <protection locked="0"/>
    </xf>
    <xf numFmtId="0" fontId="48" fillId="4" borderId="6" xfId="0" applyFont="1" applyFill="1" applyBorder="1" applyAlignment="1" applyProtection="1">
      <alignment vertical="center" wrapText="1"/>
      <protection locked="0"/>
    </xf>
    <xf numFmtId="0" fontId="48" fillId="4" borderId="7" xfId="0" applyFont="1" applyFill="1" applyBorder="1" applyAlignment="1" applyProtection="1">
      <alignment vertical="center" wrapText="1"/>
      <protection locked="0"/>
    </xf>
    <xf numFmtId="167" fontId="20" fillId="4" borderId="3" xfId="3" applyNumberFormat="1" applyFont="1" applyFill="1" applyBorder="1"/>
    <xf numFmtId="166" fontId="4" fillId="4" borderId="2" xfId="3" applyNumberFormat="1" applyFont="1" applyFill="1" applyBorder="1" applyAlignment="1">
      <alignment horizontal="left" vertical="top"/>
    </xf>
    <xf numFmtId="166" fontId="4" fillId="4" borderId="2" xfId="3" applyNumberFormat="1" applyFont="1" applyFill="1" applyBorder="1" applyAlignment="1">
      <alignment horizontal="right" vertical="top"/>
    </xf>
    <xf numFmtId="0" fontId="48" fillId="4" borderId="3" xfId="0" applyFont="1" applyFill="1" applyBorder="1" applyAlignment="1" applyProtection="1">
      <alignment horizontal="left" vertical="center" wrapText="1"/>
      <protection locked="0"/>
    </xf>
    <xf numFmtId="0" fontId="48" fillId="4" borderId="3" xfId="0" applyFont="1" applyFill="1" applyBorder="1" applyAlignment="1" applyProtection="1">
      <alignment vertical="center" wrapText="1"/>
      <protection locked="0"/>
    </xf>
    <xf numFmtId="0" fontId="48" fillId="4" borderId="5" xfId="0" applyFont="1" applyFill="1" applyBorder="1" applyAlignment="1" applyProtection="1">
      <alignment vertical="center" wrapText="1"/>
      <protection locked="0"/>
    </xf>
    <xf numFmtId="166" fontId="49" fillId="4" borderId="3" xfId="0" applyNumberFormat="1" applyFont="1" applyFill="1" applyBorder="1" applyAlignment="1">
      <alignment horizontal="left"/>
    </xf>
    <xf numFmtId="166" fontId="49" fillId="4" borderId="3" xfId="0" applyNumberFormat="1" applyFont="1" applyFill="1" applyBorder="1"/>
    <xf numFmtId="0" fontId="9" fillId="0" borderId="0" xfId="0" applyFont="1" applyAlignment="1">
      <alignment horizontal="left"/>
    </xf>
    <xf numFmtId="0" fontId="2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" fillId="7" borderId="3" xfId="0" applyFont="1" applyFill="1" applyBorder="1" applyAlignment="1">
      <alignment vertical="top"/>
    </xf>
    <xf numFmtId="166" fontId="4" fillId="7" borderId="3" xfId="0" applyNumberFormat="1" applyFont="1" applyFill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166" fontId="4" fillId="0" borderId="3" xfId="0" applyNumberFormat="1" applyFont="1" applyBorder="1" applyAlignment="1">
      <alignment vertical="top" wrapText="1" readingOrder="1"/>
    </xf>
    <xf numFmtId="0" fontId="5" fillId="0" borderId="3" xfId="0" applyFont="1" applyBorder="1" applyAlignment="1">
      <alignment vertical="top" wrapText="1" readingOrder="1"/>
    </xf>
    <xf numFmtId="166" fontId="5" fillId="0" borderId="3" xfId="0" applyNumberFormat="1" applyFont="1" applyBorder="1" applyAlignment="1">
      <alignment vertical="top" wrapText="1" readingOrder="1"/>
    </xf>
    <xf numFmtId="0" fontId="4" fillId="0" borderId="3" xfId="0" applyFont="1" applyBorder="1" applyAlignment="1">
      <alignment vertical="top" wrapText="1"/>
    </xf>
    <xf numFmtId="166" fontId="5" fillId="4" borderId="3" xfId="0" applyNumberFormat="1" applyFont="1" applyFill="1" applyBorder="1" applyAlignment="1">
      <alignment vertical="top" wrapText="1" readingOrder="1"/>
    </xf>
    <xf numFmtId="0" fontId="4" fillId="0" borderId="3" xfId="0" applyFont="1" applyBorder="1" applyAlignment="1">
      <alignment vertical="top" wrapText="1" readingOrder="1"/>
    </xf>
    <xf numFmtId="0" fontId="22" fillId="0" borderId="3" xfId="0" applyFont="1" applyBorder="1" applyAlignment="1">
      <alignment vertical="top" wrapText="1"/>
    </xf>
    <xf numFmtId="3" fontId="22" fillId="0" borderId="3" xfId="0" applyNumberFormat="1" applyFont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3" fontId="21" fillId="0" borderId="3" xfId="0" applyNumberFormat="1" applyFont="1" applyBorder="1" applyAlignment="1">
      <alignment vertical="top" wrapText="1"/>
    </xf>
    <xf numFmtId="0" fontId="22" fillId="8" borderId="3" xfId="0" applyFont="1" applyFill="1" applyBorder="1" applyAlignment="1">
      <alignment vertical="top" wrapText="1"/>
    </xf>
    <xf numFmtId="3" fontId="22" fillId="8" borderId="3" xfId="0" applyNumberFormat="1" applyFont="1" applyFill="1" applyBorder="1" applyAlignment="1">
      <alignment vertical="top" wrapText="1"/>
    </xf>
    <xf numFmtId="166" fontId="5" fillId="8" borderId="3" xfId="0" applyNumberFormat="1" applyFont="1" applyFill="1" applyBorder="1" applyAlignment="1">
      <alignment vertical="top" wrapText="1" readingOrder="1"/>
    </xf>
    <xf numFmtId="0" fontId="5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readingOrder="1"/>
    </xf>
    <xf numFmtId="0" fontId="5" fillId="8" borderId="3" xfId="0" applyFont="1" applyFill="1" applyBorder="1" applyAlignment="1">
      <alignment vertical="top" wrapText="1" readingOrder="1"/>
    </xf>
    <xf numFmtId="166" fontId="21" fillId="0" borderId="3" xfId="0" applyNumberFormat="1" applyFont="1" applyBorder="1" applyAlignment="1">
      <alignment vertical="top"/>
    </xf>
    <xf numFmtId="0" fontId="23" fillId="0" borderId="3" xfId="0" applyFont="1" applyBorder="1" applyAlignment="1">
      <alignment vertical="top" wrapText="1"/>
    </xf>
    <xf numFmtId="0" fontId="4" fillId="9" borderId="3" xfId="0" applyFont="1" applyFill="1" applyBorder="1" applyAlignment="1">
      <alignment vertical="top" wrapText="1"/>
    </xf>
    <xf numFmtId="166" fontId="4" fillId="10" borderId="3" xfId="0" applyNumberFormat="1" applyFont="1" applyFill="1" applyBorder="1" applyAlignment="1">
      <alignment vertical="top" wrapText="1"/>
    </xf>
    <xf numFmtId="175" fontId="20" fillId="0" borderId="3" xfId="0" applyNumberFormat="1" applyFont="1" applyBorder="1" applyAlignment="1">
      <alignment vertical="top"/>
    </xf>
    <xf numFmtId="0" fontId="5" fillId="4" borderId="3" xfId="0" applyFont="1" applyFill="1" applyBorder="1" applyAlignment="1">
      <alignment vertical="top" wrapText="1"/>
    </xf>
    <xf numFmtId="175" fontId="20" fillId="4" borderId="3" xfId="0" applyNumberFormat="1" applyFont="1" applyFill="1" applyBorder="1" applyAlignment="1">
      <alignment vertical="top"/>
    </xf>
    <xf numFmtId="0" fontId="5" fillId="4" borderId="3" xfId="0" applyFont="1" applyFill="1" applyBorder="1" applyAlignment="1">
      <alignment vertical="top" wrapText="1" readingOrder="1"/>
    </xf>
    <xf numFmtId="166" fontId="49" fillId="0" borderId="3" xfId="1" applyNumberFormat="1" applyFont="1" applyBorder="1" applyAlignment="1">
      <alignment vertical="top" wrapText="1"/>
    </xf>
    <xf numFmtId="166" fontId="49" fillId="0" borderId="3" xfId="1" applyNumberFormat="1" applyFont="1" applyBorder="1" applyAlignment="1">
      <alignment vertical="top"/>
    </xf>
    <xf numFmtId="167" fontId="4" fillId="12" borderId="3" xfId="0" applyNumberFormat="1" applyFont="1" applyFill="1" applyBorder="1" applyAlignment="1">
      <alignment vertical="top" wrapText="1"/>
    </xf>
    <xf numFmtId="167" fontId="4" fillId="0" borderId="3" xfId="4" applyNumberFormat="1" applyFont="1" applyFill="1" applyBorder="1" applyAlignment="1">
      <alignment vertical="top"/>
    </xf>
    <xf numFmtId="167" fontId="5" fillId="0" borderId="3" xfId="4" applyNumberFormat="1" applyFont="1" applyFill="1" applyBorder="1" applyAlignment="1">
      <alignment vertical="top"/>
    </xf>
    <xf numFmtId="167" fontId="5" fillId="0" borderId="3" xfId="0" applyNumberFormat="1" applyFont="1" applyBorder="1" applyAlignment="1">
      <alignment vertical="top"/>
    </xf>
    <xf numFmtId="3" fontId="5" fillId="0" borderId="3" xfId="0" applyNumberFormat="1" applyFont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167" fontId="4" fillId="0" borderId="3" xfId="0" applyNumberFormat="1" applyFont="1" applyBorder="1" applyAlignment="1">
      <alignment vertical="top"/>
    </xf>
    <xf numFmtId="0" fontId="4" fillId="0" borderId="3" xfId="2" applyFont="1" applyBorder="1" applyAlignment="1">
      <alignment vertical="top" wrapText="1"/>
    </xf>
    <xf numFmtId="167" fontId="5" fillId="0" borderId="3" xfId="3" applyNumberFormat="1" applyFont="1" applyFill="1" applyBorder="1" applyAlignment="1">
      <alignment horizontal="left" vertical="top" wrapText="1"/>
    </xf>
    <xf numFmtId="167" fontId="4" fillId="0" borderId="3" xfId="0" applyNumberFormat="1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167" fontId="4" fillId="0" borderId="3" xfId="4" applyNumberFormat="1" applyFont="1" applyFill="1" applyBorder="1" applyAlignment="1">
      <alignment vertical="top" wrapText="1"/>
    </xf>
    <xf numFmtId="167" fontId="4" fillId="0" borderId="3" xfId="4" applyNumberFormat="1" applyFont="1" applyFill="1" applyBorder="1" applyAlignment="1">
      <alignment horizontal="left" vertical="top"/>
    </xf>
    <xf numFmtId="167" fontId="4" fillId="0" borderId="3" xfId="4" applyNumberFormat="1" applyFont="1" applyFill="1" applyBorder="1" applyAlignment="1">
      <alignment horizontal="left" vertical="top" wrapText="1"/>
    </xf>
    <xf numFmtId="167" fontId="49" fillId="0" borderId="3" xfId="0" applyNumberFormat="1" applyFont="1" applyBorder="1" applyAlignment="1">
      <alignment horizontal="left" vertical="top"/>
    </xf>
    <xf numFmtId="167" fontId="4" fillId="0" borderId="3" xfId="3" applyNumberFormat="1" applyFont="1" applyFill="1" applyBorder="1" applyAlignment="1">
      <alignment vertical="top"/>
    </xf>
    <xf numFmtId="167" fontId="5" fillId="0" borderId="3" xfId="4" applyNumberFormat="1" applyFont="1" applyFill="1" applyBorder="1" applyAlignment="1">
      <alignment vertical="top" wrapText="1"/>
    </xf>
    <xf numFmtId="0" fontId="20" fillId="0" borderId="0" xfId="0" applyFont="1" applyAlignment="1">
      <alignment wrapText="1"/>
    </xf>
    <xf numFmtId="166" fontId="4" fillId="13" borderId="3" xfId="0" applyNumberFormat="1" applyFont="1" applyFill="1" applyBorder="1" applyAlignment="1">
      <alignment horizontal="left" vertical="center" wrapText="1"/>
    </xf>
    <xf numFmtId="166" fontId="4" fillId="13" borderId="5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66" fontId="4" fillId="4" borderId="3" xfId="3" applyNumberFormat="1" applyFont="1" applyFill="1" applyBorder="1"/>
    <xf numFmtId="0" fontId="9" fillId="4" borderId="0" xfId="0" applyFont="1" applyFill="1" applyAlignment="1">
      <alignment vertical="center"/>
    </xf>
    <xf numFmtId="175" fontId="5" fillId="4" borderId="3" xfId="0" applyNumberFormat="1" applyFont="1" applyFill="1" applyBorder="1"/>
    <xf numFmtId="166" fontId="5" fillId="4" borderId="3" xfId="3" applyNumberFormat="1" applyFont="1" applyFill="1" applyBorder="1"/>
    <xf numFmtId="175" fontId="20" fillId="4" borderId="3" xfId="0" applyNumberFormat="1" applyFont="1" applyFill="1" applyBorder="1"/>
    <xf numFmtId="166" fontId="20" fillId="4" borderId="3" xfId="3" applyNumberFormat="1" applyFont="1" applyFill="1" applyBorder="1"/>
    <xf numFmtId="3" fontId="22" fillId="4" borderId="3" xfId="0" applyNumberFormat="1" applyFont="1" applyFill="1" applyBorder="1"/>
    <xf numFmtId="175" fontId="4" fillId="4" borderId="3" xfId="0" applyNumberFormat="1" applyFont="1" applyFill="1" applyBorder="1"/>
    <xf numFmtId="166" fontId="9" fillId="0" borderId="0" xfId="0" applyNumberFormat="1" applyFont="1" applyAlignment="1">
      <alignment vertical="center"/>
    </xf>
    <xf numFmtId="166" fontId="4" fillId="13" borderId="5" xfId="0" applyNumberFormat="1" applyFont="1" applyFill="1" applyBorder="1" applyAlignment="1">
      <alignment vertical="top" wrapText="1"/>
    </xf>
    <xf numFmtId="175" fontId="5" fillId="0" borderId="3" xfId="0" applyNumberFormat="1" applyFont="1" applyBorder="1"/>
    <xf numFmtId="175" fontId="4" fillId="4" borderId="5" xfId="0" applyNumberFormat="1" applyFont="1" applyFill="1" applyBorder="1"/>
    <xf numFmtId="175" fontId="9" fillId="0" borderId="0" xfId="0" applyNumberFormat="1" applyFont="1" applyAlignment="1">
      <alignment vertical="center"/>
    </xf>
    <xf numFmtId="166" fontId="5" fillId="4" borderId="3" xfId="3" applyNumberFormat="1" applyFont="1" applyFill="1" applyBorder="1" applyAlignment="1">
      <alignment horizontal="right"/>
    </xf>
    <xf numFmtId="0" fontId="5" fillId="18" borderId="3" xfId="0" applyFont="1" applyFill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21" fillId="0" borderId="3" xfId="0" applyNumberFormat="1" applyFont="1" applyBorder="1" applyAlignment="1">
      <alignment horizontal="right"/>
    </xf>
    <xf numFmtId="177" fontId="22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6" fontId="22" fillId="0" borderId="3" xfId="0" applyNumberFormat="1" applyFont="1" applyBorder="1" applyAlignment="1">
      <alignment horizontal="right"/>
    </xf>
    <xf numFmtId="166" fontId="7" fillId="0" borderId="3" xfId="0" applyNumberFormat="1" applyFont="1" applyBorder="1" applyAlignment="1">
      <alignment horizontal="right"/>
    </xf>
    <xf numFmtId="0" fontId="51" fillId="19" borderId="3" xfId="0" applyFont="1" applyFill="1" applyBorder="1" applyAlignment="1">
      <alignment vertical="center"/>
    </xf>
    <xf numFmtId="0" fontId="51" fillId="19" borderId="7" xfId="0" applyFont="1" applyFill="1" applyBorder="1" applyAlignment="1">
      <alignment vertical="center" wrapText="1"/>
    </xf>
    <xf numFmtId="0" fontId="51" fillId="19" borderId="7" xfId="0" applyFont="1" applyFill="1" applyBorder="1" applyAlignment="1">
      <alignment vertical="center"/>
    </xf>
    <xf numFmtId="0" fontId="51" fillId="19" borderId="8" xfId="0" applyFont="1" applyFill="1" applyBorder="1" applyAlignment="1">
      <alignment vertical="center"/>
    </xf>
    <xf numFmtId="0" fontId="51" fillId="19" borderId="26" xfId="0" applyFont="1" applyFill="1" applyBorder="1" applyAlignment="1">
      <alignment vertical="center" wrapText="1"/>
    </xf>
    <xf numFmtId="0" fontId="51" fillId="19" borderId="26" xfId="0" applyFont="1" applyFill="1" applyBorder="1" applyAlignment="1">
      <alignment vertical="center"/>
    </xf>
    <xf numFmtId="43" fontId="20" fillId="0" borderId="0" xfId="0" applyNumberFormat="1" applyFont="1"/>
    <xf numFmtId="0" fontId="4" fillId="20" borderId="3" xfId="0" applyFont="1" applyFill="1" applyBorder="1" applyAlignment="1">
      <alignment horizontal="left" wrapText="1"/>
    </xf>
    <xf numFmtId="0" fontId="21" fillId="12" borderId="3" xfId="0" applyFont="1" applyFill="1" applyBorder="1" applyAlignment="1">
      <alignment horizontal="left" wrapText="1"/>
    </xf>
    <xf numFmtId="43" fontId="21" fillId="4" borderId="3" xfId="3" quotePrefix="1" applyFont="1" applyFill="1" applyBorder="1" applyAlignment="1">
      <alignment horizontal="left" vertical="top" wrapText="1"/>
    </xf>
    <xf numFmtId="43" fontId="22" fillId="4" borderId="3" xfId="3" quotePrefix="1" applyFont="1" applyFill="1" applyBorder="1" applyAlignment="1">
      <alignment horizontal="left" vertical="top" wrapText="1"/>
    </xf>
    <xf numFmtId="43" fontId="23" fillId="4" borderId="3" xfId="3" applyFont="1" applyFill="1" applyBorder="1" applyAlignment="1">
      <alignment horizontal="left" vertical="top" wrapText="1"/>
    </xf>
    <xf numFmtId="43" fontId="49" fillId="4" borderId="3" xfId="3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166" fontId="19" fillId="13" borderId="5" xfId="0" applyNumberFormat="1" applyFont="1" applyFill="1" applyBorder="1" applyAlignment="1">
      <alignment vertical="top" wrapText="1"/>
    </xf>
    <xf numFmtId="167" fontId="4" fillId="4" borderId="5" xfId="3" applyNumberFormat="1" applyFont="1" applyFill="1" applyBorder="1" applyAlignment="1">
      <alignment horizontal="left" vertical="top" wrapText="1"/>
    </xf>
    <xf numFmtId="166" fontId="23" fillId="0" borderId="3" xfId="0" applyNumberFormat="1" applyFont="1" applyBorder="1" applyAlignment="1">
      <alignment horizontal="left" vertical="top"/>
    </xf>
    <xf numFmtId="3" fontId="22" fillId="0" borderId="0" xfId="0" applyNumberFormat="1" applyFont="1"/>
    <xf numFmtId="166" fontId="20" fillId="4" borderId="3" xfId="0" applyNumberFormat="1" applyFont="1" applyFill="1" applyBorder="1" applyAlignment="1">
      <alignment horizontal="left" vertical="top"/>
    </xf>
    <xf numFmtId="167" fontId="5" fillId="4" borderId="5" xfId="3" applyNumberFormat="1" applyFont="1" applyFill="1" applyBorder="1" applyAlignment="1">
      <alignment horizontal="left" vertical="top"/>
    </xf>
    <xf numFmtId="166" fontId="4" fillId="4" borderId="5" xfId="0" applyNumberFormat="1" applyFont="1" applyFill="1" applyBorder="1" applyAlignment="1">
      <alignment horizontal="left" vertical="top"/>
    </xf>
    <xf numFmtId="175" fontId="20" fillId="4" borderId="5" xfId="0" applyNumberFormat="1" applyFont="1" applyFill="1" applyBorder="1" applyAlignment="1">
      <alignment horizontal="left" vertical="top"/>
    </xf>
    <xf numFmtId="166" fontId="20" fillId="0" borderId="3" xfId="0" applyNumberFormat="1" applyFont="1" applyBorder="1" applyAlignment="1">
      <alignment horizontal="left" vertical="top"/>
    </xf>
    <xf numFmtId="166" fontId="5" fillId="14" borderId="5" xfId="3" applyNumberFormat="1" applyFont="1" applyFill="1" applyBorder="1" applyAlignment="1">
      <alignment horizontal="left" vertical="top"/>
    </xf>
    <xf numFmtId="166" fontId="5" fillId="4" borderId="5" xfId="0" applyNumberFormat="1" applyFont="1" applyFill="1" applyBorder="1" applyAlignment="1">
      <alignment horizontal="left" vertical="top"/>
    </xf>
    <xf numFmtId="166" fontId="4" fillId="4" borderId="5" xfId="3" applyNumberFormat="1" applyFont="1" applyFill="1" applyBorder="1" applyAlignment="1">
      <alignment horizontal="left" vertical="top"/>
    </xf>
    <xf numFmtId="166" fontId="5" fillId="4" borderId="5" xfId="3" applyNumberFormat="1" applyFont="1" applyFill="1" applyBorder="1" applyAlignment="1">
      <alignment horizontal="left" vertical="top"/>
    </xf>
    <xf numFmtId="175" fontId="20" fillId="15" borderId="5" xfId="0" applyNumberFormat="1" applyFont="1" applyFill="1" applyBorder="1" applyAlignment="1">
      <alignment horizontal="left" vertical="top"/>
    </xf>
    <xf numFmtId="166" fontId="5" fillId="15" borderId="5" xfId="0" applyNumberFormat="1" applyFont="1" applyFill="1" applyBorder="1" applyAlignment="1">
      <alignment horizontal="left" vertical="top"/>
    </xf>
    <xf numFmtId="3" fontId="4" fillId="4" borderId="5" xfId="0" applyNumberFormat="1" applyFont="1" applyFill="1" applyBorder="1" applyAlignment="1">
      <alignment horizontal="right" vertical="top"/>
    </xf>
    <xf numFmtId="166" fontId="23" fillId="0" borderId="5" xfId="0" applyNumberFormat="1" applyFont="1" applyBorder="1" applyAlignment="1">
      <alignment horizontal="left" vertical="top"/>
    </xf>
    <xf numFmtId="175" fontId="20" fillId="4" borderId="0" xfId="0" applyNumberFormat="1" applyFont="1" applyFill="1" applyAlignment="1">
      <alignment horizontal="left" vertical="top"/>
    </xf>
    <xf numFmtId="175" fontId="20" fillId="4" borderId="3" xfId="0" applyNumberFormat="1" applyFont="1" applyFill="1" applyBorder="1" applyAlignment="1">
      <alignment horizontal="left" vertical="top"/>
    </xf>
    <xf numFmtId="175" fontId="20" fillId="0" borderId="3" xfId="0" applyNumberFormat="1" applyFont="1" applyBorder="1" applyAlignment="1">
      <alignment horizontal="left" vertical="top"/>
    </xf>
    <xf numFmtId="175" fontId="20" fillId="0" borderId="0" xfId="0" applyNumberFormat="1" applyFont="1" applyAlignment="1">
      <alignment horizontal="left" vertical="top"/>
    </xf>
    <xf numFmtId="166" fontId="4" fillId="4" borderId="5" xfId="0" applyNumberFormat="1" applyFont="1" applyFill="1" applyBorder="1" applyAlignment="1">
      <alignment horizontal="right" vertical="top"/>
    </xf>
    <xf numFmtId="166" fontId="5" fillId="0" borderId="5" xfId="3" applyNumberFormat="1" applyFont="1" applyFill="1" applyBorder="1" applyAlignment="1">
      <alignment horizontal="left" vertical="top"/>
    </xf>
    <xf numFmtId="166" fontId="5" fillId="0" borderId="5" xfId="0" applyNumberFormat="1" applyFont="1" applyBorder="1" applyAlignment="1">
      <alignment horizontal="left" vertical="top"/>
    </xf>
    <xf numFmtId="166" fontId="5" fillId="4" borderId="3" xfId="0" applyNumberFormat="1" applyFont="1" applyFill="1" applyBorder="1" applyAlignment="1">
      <alignment horizontal="left" vertical="top"/>
    </xf>
    <xf numFmtId="166" fontId="20" fillId="4" borderId="0" xfId="3" applyNumberFormat="1" applyFont="1" applyFill="1" applyAlignment="1">
      <alignment horizontal="left" vertical="top"/>
    </xf>
    <xf numFmtId="3" fontId="20" fillId="4" borderId="5" xfId="0" applyNumberFormat="1" applyFont="1" applyFill="1" applyBorder="1" applyAlignment="1">
      <alignment vertical="top"/>
    </xf>
    <xf numFmtId="167" fontId="4" fillId="4" borderId="5" xfId="3" applyNumberFormat="1" applyFont="1" applyFill="1" applyBorder="1" applyAlignment="1">
      <alignment horizontal="left" vertical="top"/>
    </xf>
    <xf numFmtId="167" fontId="4" fillId="4" borderId="5" xfId="3" applyNumberFormat="1" applyFont="1" applyFill="1" applyBorder="1" applyAlignment="1" applyProtection="1">
      <alignment horizontal="left" vertical="top"/>
    </xf>
    <xf numFmtId="175" fontId="20" fillId="0" borderId="5" xfId="0" applyNumberFormat="1" applyFont="1" applyBorder="1" applyAlignment="1">
      <alignment horizontal="left" vertical="top"/>
    </xf>
    <xf numFmtId="167" fontId="4" fillId="0" borderId="5" xfId="3" applyNumberFormat="1" applyFont="1" applyFill="1" applyBorder="1" applyAlignment="1">
      <alignment horizontal="left" vertical="top"/>
    </xf>
    <xf numFmtId="167" fontId="5" fillId="0" borderId="5" xfId="3" applyNumberFormat="1" applyFont="1" applyFill="1" applyBorder="1" applyAlignment="1" applyProtection="1">
      <alignment horizontal="left" vertical="top"/>
    </xf>
    <xf numFmtId="167" fontId="5" fillId="0" borderId="5" xfId="3" applyNumberFormat="1" applyFont="1" applyFill="1" applyBorder="1" applyAlignment="1">
      <alignment horizontal="left" vertical="top"/>
    </xf>
    <xf numFmtId="175" fontId="20" fillId="8" borderId="5" xfId="0" applyNumberFormat="1" applyFont="1" applyFill="1" applyBorder="1" applyAlignment="1">
      <alignment horizontal="left" vertical="top"/>
    </xf>
    <xf numFmtId="175" fontId="23" fillId="0" borderId="5" xfId="0" applyNumberFormat="1" applyFont="1" applyBorder="1" applyAlignment="1">
      <alignment horizontal="left" vertical="top"/>
    </xf>
    <xf numFmtId="3" fontId="20" fillId="4" borderId="3" xfId="0" applyNumberFormat="1" applyFont="1" applyFill="1" applyBorder="1" applyAlignment="1">
      <alignment horizontal="right" vertical="top"/>
    </xf>
    <xf numFmtId="175" fontId="20" fillId="21" borderId="5" xfId="0" applyNumberFormat="1" applyFont="1" applyFill="1" applyBorder="1" applyAlignment="1">
      <alignment horizontal="left" vertical="top"/>
    </xf>
    <xf numFmtId="167" fontId="5" fillId="4" borderId="5" xfId="3" applyNumberFormat="1" applyFont="1" applyFill="1" applyBorder="1" applyAlignment="1" applyProtection="1">
      <alignment horizontal="left" vertical="top"/>
    </xf>
    <xf numFmtId="167" fontId="20" fillId="4" borderId="5" xfId="3" applyNumberFormat="1" applyFont="1" applyFill="1" applyBorder="1" applyAlignment="1">
      <alignment vertical="top"/>
    </xf>
    <xf numFmtId="166" fontId="5" fillId="8" borderId="5" xfId="0" applyNumberFormat="1" applyFont="1" applyFill="1" applyBorder="1" applyAlignment="1">
      <alignment horizontal="left" vertical="top"/>
    </xf>
    <xf numFmtId="167" fontId="5" fillId="8" borderId="5" xfId="3" applyNumberFormat="1" applyFont="1" applyFill="1" applyBorder="1" applyAlignment="1">
      <alignment horizontal="left" vertical="top"/>
    </xf>
    <xf numFmtId="170" fontId="21" fillId="11" borderId="3" xfId="0" applyNumberFormat="1" applyFont="1" applyFill="1" applyBorder="1" applyAlignment="1">
      <alignment horizontal="right" vertical="top"/>
    </xf>
    <xf numFmtId="169" fontId="22" fillId="11" borderId="3" xfId="0" applyNumberFormat="1" applyFont="1" applyFill="1" applyBorder="1" applyAlignment="1">
      <alignment horizontal="right" vertical="top"/>
    </xf>
    <xf numFmtId="170" fontId="22" fillId="11" borderId="3" xfId="0" applyNumberFormat="1" applyFont="1" applyFill="1" applyBorder="1" applyAlignment="1">
      <alignment horizontal="right" vertical="top"/>
    </xf>
    <xf numFmtId="169" fontId="22" fillId="21" borderId="3" xfId="0" applyNumberFormat="1" applyFont="1" applyFill="1" applyBorder="1" applyAlignment="1">
      <alignment horizontal="right" vertical="top"/>
    </xf>
    <xf numFmtId="169" fontId="21" fillId="11" borderId="3" xfId="0" applyNumberFormat="1" applyFont="1" applyFill="1" applyBorder="1" applyAlignment="1">
      <alignment horizontal="right" vertical="top"/>
    </xf>
    <xf numFmtId="166" fontId="5" fillId="0" borderId="3" xfId="1" applyNumberFormat="1" applyFont="1" applyBorder="1" applyAlignment="1">
      <alignment vertical="top" wrapText="1"/>
    </xf>
    <xf numFmtId="169" fontId="21" fillId="11" borderId="5" xfId="0" applyNumberFormat="1" applyFont="1" applyFill="1" applyBorder="1" applyAlignment="1">
      <alignment horizontal="right" vertical="top"/>
    </xf>
    <xf numFmtId="167" fontId="5" fillId="21" borderId="5" xfId="3" applyNumberFormat="1" applyFont="1" applyFill="1" applyBorder="1" applyAlignment="1">
      <alignment horizontal="left" vertical="top"/>
    </xf>
    <xf numFmtId="167" fontId="20" fillId="4" borderId="0" xfId="0" applyNumberFormat="1" applyFont="1" applyFill="1" applyAlignment="1">
      <alignment horizontal="left" vertical="top"/>
    </xf>
    <xf numFmtId="165" fontId="20" fillId="0" borderId="0" xfId="1" applyFont="1"/>
    <xf numFmtId="3" fontId="20" fillId="0" borderId="0" xfId="0" applyNumberFormat="1" applyFont="1"/>
    <xf numFmtId="167" fontId="20" fillId="0" borderId="0" xfId="0" applyNumberFormat="1" applyFont="1"/>
    <xf numFmtId="0" fontId="23" fillId="0" borderId="3" xfId="0" applyFont="1" applyBorder="1" applyAlignment="1">
      <alignment vertical="center" wrapText="1"/>
    </xf>
    <xf numFmtId="3" fontId="22" fillId="0" borderId="3" xfId="0" applyNumberFormat="1" applyFont="1" applyBorder="1" applyAlignment="1">
      <alignment vertical="center"/>
    </xf>
    <xf numFmtId="3" fontId="20" fillId="0" borderId="3" xfId="0" applyNumberFormat="1" applyFont="1" applyBorder="1" applyAlignment="1">
      <alignment vertical="center" wrapText="1"/>
    </xf>
    <xf numFmtId="167" fontId="50" fillId="0" borderId="3" xfId="0" applyNumberFormat="1" applyFont="1" applyBorder="1" applyAlignment="1">
      <alignment vertical="top"/>
    </xf>
    <xf numFmtId="169" fontId="0" fillId="0" borderId="0" xfId="0" applyNumberFormat="1" applyAlignment="1">
      <alignment horizontal="left" vertical="top"/>
    </xf>
    <xf numFmtId="37" fontId="0" fillId="0" borderId="0" xfId="0" applyNumberFormat="1" applyAlignment="1">
      <alignment horizontal="left" vertical="top"/>
    </xf>
    <xf numFmtId="0" fontId="53" fillId="0" borderId="0" xfId="0" applyFont="1"/>
    <xf numFmtId="0" fontId="4" fillId="22" borderId="3" xfId="0" applyFont="1" applyFill="1" applyBorder="1" applyAlignment="1">
      <alignment vertical="top" wrapText="1"/>
    </xf>
    <xf numFmtId="167" fontId="4" fillId="22" borderId="3" xfId="4" applyNumberFormat="1" applyFont="1" applyFill="1" applyBorder="1" applyAlignment="1">
      <alignment vertical="top"/>
    </xf>
    <xf numFmtId="165" fontId="20" fillId="22" borderId="0" xfId="1" applyFont="1" applyFill="1"/>
    <xf numFmtId="0" fontId="20" fillId="22" borderId="0" xfId="0" applyFont="1" applyFill="1"/>
    <xf numFmtId="0" fontId="5" fillId="22" borderId="3" xfId="0" applyFont="1" applyFill="1" applyBorder="1" applyAlignment="1">
      <alignment vertical="top" wrapText="1"/>
    </xf>
    <xf numFmtId="167" fontId="5" fillId="22" borderId="3" xfId="4" applyNumberFormat="1" applyFont="1" applyFill="1" applyBorder="1" applyAlignment="1">
      <alignment vertical="top"/>
    </xf>
    <xf numFmtId="167" fontId="5" fillId="22" borderId="3" xfId="0" applyNumberFormat="1" applyFont="1" applyFill="1" applyBorder="1" applyAlignment="1">
      <alignment vertical="top"/>
    </xf>
    <xf numFmtId="3" fontId="5" fillId="22" borderId="3" xfId="0" applyNumberFormat="1" applyFont="1" applyFill="1" applyBorder="1" applyAlignment="1">
      <alignment vertical="top" wrapText="1"/>
    </xf>
    <xf numFmtId="0" fontId="5" fillId="22" borderId="3" xfId="2" applyFont="1" applyFill="1" applyBorder="1" applyAlignment="1">
      <alignment vertical="top" wrapText="1"/>
    </xf>
    <xf numFmtId="165" fontId="23" fillId="0" borderId="0" xfId="1" applyFont="1"/>
    <xf numFmtId="165" fontId="18" fillId="0" borderId="0" xfId="1" applyFont="1"/>
    <xf numFmtId="166" fontId="38" fillId="0" borderId="0" xfId="0" applyNumberFormat="1" applyFont="1"/>
    <xf numFmtId="0" fontId="53" fillId="0" borderId="3" xfId="0" applyFont="1" applyBorder="1"/>
    <xf numFmtId="3" fontId="54" fillId="0" borderId="3" xfId="0" applyNumberFormat="1" applyFont="1" applyBorder="1" applyAlignment="1">
      <alignment horizontal="justify" vertical="center"/>
    </xf>
    <xf numFmtId="0" fontId="58" fillId="0" borderId="3" xfId="0" applyFont="1" applyBorder="1"/>
    <xf numFmtId="0" fontId="58" fillId="0" borderId="0" xfId="0" applyFont="1"/>
    <xf numFmtId="166" fontId="20" fillId="0" borderId="0" xfId="1" applyNumberFormat="1" applyFont="1"/>
    <xf numFmtId="165" fontId="0" fillId="0" borderId="0" xfId="1" applyFont="1"/>
    <xf numFmtId="178" fontId="0" fillId="0" borderId="0" xfId="1" applyNumberFormat="1" applyFont="1"/>
    <xf numFmtId="43" fontId="9" fillId="0" borderId="3" xfId="0" applyNumberFormat="1" applyFont="1" applyBorder="1"/>
    <xf numFmtId="166" fontId="9" fillId="0" borderId="0" xfId="1" applyNumberFormat="1" applyFont="1"/>
    <xf numFmtId="166" fontId="9" fillId="0" borderId="0" xfId="0" applyNumberFormat="1" applyFont="1"/>
    <xf numFmtId="0" fontId="21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4" fontId="22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top"/>
    </xf>
    <xf numFmtId="4" fontId="21" fillId="0" borderId="3" xfId="0" applyNumberFormat="1" applyFont="1" applyBorder="1" applyAlignment="1">
      <alignment vertical="center"/>
    </xf>
    <xf numFmtId="166" fontId="38" fillId="0" borderId="0" xfId="1" applyNumberFormat="1" applyFont="1"/>
    <xf numFmtId="43" fontId="9" fillId="0" borderId="0" xfId="0" applyNumberFormat="1" applyFont="1" applyAlignment="1">
      <alignment vertical="top"/>
    </xf>
    <xf numFmtId="165" fontId="20" fillId="0" borderId="0" xfId="1" applyFont="1" applyAlignment="1">
      <alignment horizontal="left" vertical="top"/>
    </xf>
    <xf numFmtId="165" fontId="9" fillId="0" borderId="0" xfId="1" applyFont="1"/>
    <xf numFmtId="165" fontId="26" fillId="0" borderId="0" xfId="1" applyFont="1"/>
    <xf numFmtId="165" fontId="0" fillId="0" borderId="0" xfId="1" applyFont="1" applyAlignment="1">
      <alignment horizontal="left" vertical="top"/>
    </xf>
    <xf numFmtId="166" fontId="0" fillId="0" borderId="0" xfId="1" applyNumberFormat="1" applyFont="1" applyAlignment="1">
      <alignment horizontal="left" vertical="top"/>
    </xf>
    <xf numFmtId="167" fontId="26" fillId="0" borderId="0" xfId="0" applyNumberFormat="1" applyFont="1"/>
    <xf numFmtId="167" fontId="36" fillId="0" borderId="0" xfId="0" applyNumberFormat="1" applyFont="1"/>
    <xf numFmtId="43" fontId="20" fillId="0" borderId="0" xfId="0" applyNumberFormat="1" applyFont="1" applyAlignment="1">
      <alignment horizontal="left" vertical="top"/>
    </xf>
    <xf numFmtId="43" fontId="23" fillId="0" borderId="0" xfId="0" applyNumberFormat="1" applyFont="1" applyAlignment="1">
      <alignment horizontal="left" vertical="top"/>
    </xf>
    <xf numFmtId="167" fontId="30" fillId="22" borderId="3" xfId="3" applyNumberFormat="1" applyFont="1" applyFill="1" applyBorder="1" applyAlignment="1" applyProtection="1">
      <alignment wrapText="1"/>
    </xf>
    <xf numFmtId="166" fontId="50" fillId="0" borderId="5" xfId="0" applyNumberFormat="1" applyFont="1" applyBorder="1" applyAlignment="1">
      <alignment horizontal="left" vertical="top"/>
    </xf>
    <xf numFmtId="0" fontId="54" fillId="0" borderId="3" xfId="0" applyFont="1" applyBorder="1" applyAlignment="1">
      <alignment vertical="center"/>
    </xf>
    <xf numFmtId="0" fontId="54" fillId="0" borderId="3" xfId="0" applyFont="1" applyBorder="1" applyAlignment="1">
      <alignment vertical="center" wrapText="1"/>
    </xf>
    <xf numFmtId="0" fontId="54" fillId="0" borderId="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/>
    </xf>
    <xf numFmtId="0" fontId="55" fillId="0" borderId="3" xfId="0" applyFont="1" applyBorder="1" applyAlignment="1">
      <alignment horizontal="justify" vertical="center"/>
    </xf>
    <xf numFmtId="3" fontId="55" fillId="0" borderId="3" xfId="0" applyNumberFormat="1" applyFont="1" applyBorder="1" applyAlignment="1">
      <alignment horizontal="justify" vertical="center"/>
    </xf>
    <xf numFmtId="0" fontId="55" fillId="0" borderId="3" xfId="0" applyFont="1" applyBorder="1" applyAlignment="1">
      <alignment vertical="center" wrapText="1"/>
    </xf>
    <xf numFmtId="3" fontId="53" fillId="0" borderId="3" xfId="0" applyNumberFormat="1" applyFont="1" applyBorder="1"/>
    <xf numFmtId="0" fontId="57" fillId="0" borderId="3" xfId="0" applyFont="1" applyBorder="1" applyAlignment="1">
      <alignment horizontal="justify" vertical="center"/>
    </xf>
    <xf numFmtId="3" fontId="55" fillId="0" borderId="3" xfId="0" applyNumberFormat="1" applyFont="1" applyBorder="1" applyAlignment="1">
      <alignment vertical="center"/>
    </xf>
    <xf numFmtId="0" fontId="54" fillId="0" borderId="3" xfId="0" applyFont="1" applyBorder="1" applyAlignment="1">
      <alignment horizontal="justify" vertical="center"/>
    </xf>
    <xf numFmtId="3" fontId="54" fillId="0" borderId="3" xfId="0" applyNumberFormat="1" applyFont="1" applyBorder="1" applyAlignment="1">
      <alignment vertical="center"/>
    </xf>
    <xf numFmtId="167" fontId="58" fillId="0" borderId="3" xfId="3" applyNumberFormat="1" applyFont="1" applyFill="1" applyBorder="1"/>
    <xf numFmtId="4" fontId="55" fillId="0" borderId="3" xfId="0" applyNumberFormat="1" applyFont="1" applyBorder="1" applyAlignment="1">
      <alignment horizontal="center" vertical="center" wrapText="1"/>
    </xf>
    <xf numFmtId="167" fontId="53" fillId="0" borderId="3" xfId="3" applyNumberFormat="1" applyFont="1" applyFill="1" applyBorder="1"/>
    <xf numFmtId="0" fontId="18" fillId="0" borderId="0" xfId="0" applyFont="1"/>
    <xf numFmtId="0" fontId="23" fillId="0" borderId="0" xfId="0" applyFont="1"/>
    <xf numFmtId="165" fontId="60" fillId="0" borderId="0" xfId="1" applyFont="1"/>
    <xf numFmtId="0" fontId="60" fillId="0" borderId="0" xfId="0" applyFont="1"/>
    <xf numFmtId="0" fontId="61" fillId="0" borderId="0" xfId="0" applyFont="1" applyAlignment="1">
      <alignment vertical="top"/>
    </xf>
    <xf numFmtId="0" fontId="62" fillId="0" borderId="0" xfId="0" applyFont="1" applyAlignment="1">
      <alignment vertical="top"/>
    </xf>
    <xf numFmtId="0" fontId="62" fillId="0" borderId="3" xfId="0" applyFont="1" applyBorder="1" applyAlignment="1">
      <alignment vertical="top"/>
    </xf>
    <xf numFmtId="3" fontId="62" fillId="0" borderId="3" xfId="0" applyNumberFormat="1" applyFont="1" applyBorder="1" applyAlignment="1">
      <alignment vertical="top"/>
    </xf>
    <xf numFmtId="0" fontId="63" fillId="0" borderId="3" xfId="0" applyFont="1" applyBorder="1" applyAlignment="1">
      <alignment vertical="top"/>
    </xf>
    <xf numFmtId="3" fontId="63" fillId="0" borderId="3" xfId="0" applyNumberFormat="1" applyFont="1" applyBorder="1" applyAlignment="1">
      <alignment vertical="top"/>
    </xf>
    <xf numFmtId="0" fontId="64" fillId="0" borderId="0" xfId="0" applyFont="1" applyAlignment="1">
      <alignment vertical="top"/>
    </xf>
    <xf numFmtId="0" fontId="63" fillId="0" borderId="0" xfId="0" applyFont="1" applyAlignment="1">
      <alignment vertical="top"/>
    </xf>
    <xf numFmtId="0" fontId="65" fillId="0" borderId="3" xfId="0" applyFont="1" applyBorder="1" applyAlignment="1">
      <alignment horizontal="left" vertical="top" wrapText="1"/>
    </xf>
    <xf numFmtId="0" fontId="64" fillId="0" borderId="3" xfId="0" applyFont="1" applyBorder="1" applyAlignment="1">
      <alignment vertical="top"/>
    </xf>
    <xf numFmtId="3" fontId="64" fillId="0" borderId="3" xfId="0" applyNumberFormat="1" applyFont="1" applyBorder="1" applyAlignment="1">
      <alignment vertical="top"/>
    </xf>
    <xf numFmtId="166" fontId="18" fillId="0" borderId="0" xfId="1" applyNumberFormat="1" applyFont="1"/>
    <xf numFmtId="0" fontId="23" fillId="0" borderId="5" xfId="0" applyFont="1" applyBorder="1"/>
    <xf numFmtId="166" fontId="23" fillId="0" borderId="3" xfId="1" applyNumberFormat="1" applyFont="1" applyBorder="1"/>
    <xf numFmtId="0" fontId="18" fillId="0" borderId="5" xfId="0" applyFont="1" applyBorder="1"/>
    <xf numFmtId="166" fontId="18" fillId="0" borderId="3" xfId="1" applyNumberFormat="1" applyFont="1" applyBorder="1"/>
    <xf numFmtId="0" fontId="23" fillId="0" borderId="3" xfId="0" applyFont="1" applyBorder="1"/>
    <xf numFmtId="180" fontId="20" fillId="0" borderId="3" xfId="0" applyNumberFormat="1" applyFont="1" applyBorder="1" applyAlignment="1">
      <alignment vertical="top" wrapText="1"/>
    </xf>
    <xf numFmtId="180" fontId="19" fillId="13" borderId="5" xfId="0" applyNumberFormat="1" applyFont="1" applyFill="1" applyBorder="1" applyAlignment="1">
      <alignment vertical="top" wrapText="1"/>
    </xf>
    <xf numFmtId="180" fontId="20" fillId="0" borderId="0" xfId="0" applyNumberFormat="1" applyFont="1" applyAlignment="1">
      <alignment wrapText="1"/>
    </xf>
    <xf numFmtId="180" fontId="4" fillId="12" borderId="3" xfId="3" applyNumberFormat="1" applyFont="1" applyFill="1" applyBorder="1" applyAlignment="1">
      <alignment vertical="top" wrapText="1"/>
    </xf>
    <xf numFmtId="180" fontId="4" fillId="0" borderId="3" xfId="0" applyNumberFormat="1" applyFont="1" applyBorder="1" applyAlignment="1">
      <alignment vertical="top" wrapText="1"/>
    </xf>
    <xf numFmtId="180" fontId="5" fillId="4" borderId="3" xfId="0" applyNumberFormat="1" applyFont="1" applyFill="1" applyBorder="1" applyAlignment="1">
      <alignment vertical="top" wrapText="1"/>
    </xf>
    <xf numFmtId="180" fontId="5" fillId="0" borderId="3" xfId="0" applyNumberFormat="1" applyFont="1" applyBorder="1" applyAlignment="1">
      <alignment vertical="top" wrapText="1"/>
    </xf>
    <xf numFmtId="180" fontId="5" fillId="0" borderId="3" xfId="2" applyNumberFormat="1" applyFont="1" applyBorder="1" applyAlignment="1">
      <alignment vertical="top" wrapText="1"/>
    </xf>
    <xf numFmtId="180" fontId="20" fillId="0" borderId="0" xfId="0" applyNumberFormat="1" applyFont="1" applyAlignment="1">
      <alignment vertical="top" wrapText="1"/>
    </xf>
    <xf numFmtId="180" fontId="4" fillId="4" borderId="3" xfId="0" applyNumberFormat="1" applyFont="1" applyFill="1" applyBorder="1" applyAlignment="1">
      <alignment vertical="top" wrapText="1"/>
    </xf>
    <xf numFmtId="180" fontId="4" fillId="0" borderId="3" xfId="2" applyNumberFormat="1" applyFont="1" applyBorder="1" applyAlignment="1">
      <alignment vertical="top" wrapText="1"/>
    </xf>
    <xf numFmtId="180" fontId="4" fillId="12" borderId="3" xfId="0" applyNumberFormat="1" applyFont="1" applyFill="1" applyBorder="1" applyAlignment="1">
      <alignment vertical="top" wrapText="1"/>
    </xf>
    <xf numFmtId="180" fontId="21" fillId="11" borderId="3" xfId="0" quotePrefix="1" applyNumberFormat="1" applyFont="1" applyFill="1" applyBorder="1" applyAlignment="1">
      <alignment vertical="top" wrapText="1"/>
    </xf>
    <xf numFmtId="180" fontId="22" fillId="11" borderId="3" xfId="0" quotePrefix="1" applyNumberFormat="1" applyFont="1" applyFill="1" applyBorder="1" applyAlignment="1">
      <alignment vertical="top" wrapText="1"/>
    </xf>
    <xf numFmtId="180" fontId="21" fillId="11" borderId="32" xfId="0" quotePrefix="1" applyNumberFormat="1" applyFont="1" applyFill="1" applyBorder="1" applyAlignment="1">
      <alignment vertical="top" wrapText="1"/>
    </xf>
    <xf numFmtId="180" fontId="22" fillId="11" borderId="31" xfId="0" quotePrefix="1" applyNumberFormat="1" applyFont="1" applyFill="1" applyBorder="1" applyAlignment="1">
      <alignment vertical="top" wrapText="1"/>
    </xf>
    <xf numFmtId="180" fontId="22" fillId="4" borderId="3" xfId="0" quotePrefix="1" applyNumberFormat="1" applyFont="1" applyFill="1" applyBorder="1" applyAlignment="1">
      <alignment vertical="top" wrapText="1"/>
    </xf>
    <xf numFmtId="180" fontId="4" fillId="4" borderId="5" xfId="3" applyNumberFormat="1" applyFont="1" applyFill="1" applyBorder="1" applyAlignment="1">
      <alignment vertical="top" wrapText="1"/>
    </xf>
    <xf numFmtId="180" fontId="22" fillId="0" borderId="0" xfId="0" applyNumberFormat="1" applyFont="1"/>
    <xf numFmtId="180" fontId="5" fillId="4" borderId="5" xfId="3" applyNumberFormat="1" applyFont="1" applyFill="1" applyBorder="1" applyAlignment="1">
      <alignment vertical="top"/>
    </xf>
    <xf numFmtId="180" fontId="4" fillId="4" borderId="5" xfId="0" applyNumberFormat="1" applyFont="1" applyFill="1" applyBorder="1" applyAlignment="1">
      <alignment vertical="top"/>
    </xf>
    <xf numFmtId="180" fontId="20" fillId="4" borderId="5" xfId="0" applyNumberFormat="1" applyFont="1" applyFill="1" applyBorder="1" applyAlignment="1">
      <alignment vertical="top"/>
    </xf>
    <xf numFmtId="180" fontId="5" fillId="14" borderId="5" xfId="3" applyNumberFormat="1" applyFont="1" applyFill="1" applyBorder="1" applyAlignment="1">
      <alignment vertical="top"/>
    </xf>
    <xf numFmtId="180" fontId="5" fillId="4" borderId="5" xfId="0" applyNumberFormat="1" applyFont="1" applyFill="1" applyBorder="1" applyAlignment="1">
      <alignment vertical="top"/>
    </xf>
    <xf numFmtId="180" fontId="4" fillId="4" borderId="5" xfId="3" applyNumberFormat="1" applyFont="1" applyFill="1" applyBorder="1" applyAlignment="1">
      <alignment vertical="top"/>
    </xf>
    <xf numFmtId="180" fontId="20" fillId="15" borderId="5" xfId="0" applyNumberFormat="1" applyFont="1" applyFill="1" applyBorder="1" applyAlignment="1">
      <alignment vertical="top"/>
    </xf>
    <xf numFmtId="180" fontId="5" fillId="15" borderId="5" xfId="0" applyNumberFormat="1" applyFont="1" applyFill="1" applyBorder="1" applyAlignment="1">
      <alignment vertical="top"/>
    </xf>
    <xf numFmtId="180" fontId="20" fillId="4" borderId="0" xfId="0" applyNumberFormat="1" applyFont="1" applyFill="1" applyAlignment="1">
      <alignment vertical="top"/>
    </xf>
    <xf numFmtId="180" fontId="20" fillId="4" borderId="3" xfId="0" applyNumberFormat="1" applyFont="1" applyFill="1" applyBorder="1" applyAlignment="1">
      <alignment vertical="top"/>
    </xf>
    <xf numFmtId="180" fontId="20" fillId="0" borderId="3" xfId="0" applyNumberFormat="1" applyFont="1" applyBorder="1" applyAlignment="1">
      <alignment vertical="top"/>
    </xf>
    <xf numFmtId="180" fontId="20" fillId="0" borderId="0" xfId="0" applyNumberFormat="1" applyFont="1" applyAlignment="1">
      <alignment vertical="top"/>
    </xf>
    <xf numFmtId="180" fontId="5" fillId="0" borderId="5" xfId="3" applyNumberFormat="1" applyFont="1" applyFill="1" applyBorder="1" applyAlignment="1">
      <alignment vertical="top"/>
    </xf>
    <xf numFmtId="180" fontId="5" fillId="0" borderId="5" xfId="0" applyNumberFormat="1" applyFont="1" applyBorder="1" applyAlignment="1">
      <alignment vertical="top"/>
    </xf>
    <xf numFmtId="180" fontId="20" fillId="4" borderId="0" xfId="3" applyNumberFormat="1" applyFont="1" applyFill="1" applyAlignment="1">
      <alignment vertical="top"/>
    </xf>
    <xf numFmtId="3" fontId="48" fillId="0" borderId="3" xfId="0" applyNumberFormat="1" applyFont="1" applyBorder="1" applyAlignment="1">
      <alignment vertical="top" wrapText="1"/>
    </xf>
    <xf numFmtId="0" fontId="4" fillId="5" borderId="3" xfId="0" applyFont="1" applyFill="1" applyBorder="1" applyAlignment="1">
      <alignment horizontal="center" vertical="top" wrapText="1"/>
    </xf>
    <xf numFmtId="166" fontId="4" fillId="5" borderId="3" xfId="0" applyNumberFormat="1" applyFont="1" applyFill="1" applyBorder="1" applyAlignment="1">
      <alignment vertical="top" wrapText="1"/>
    </xf>
    <xf numFmtId="3" fontId="48" fillId="4" borderId="3" xfId="0" applyNumberFormat="1" applyFont="1" applyFill="1" applyBorder="1" applyAlignment="1">
      <alignment vertical="top" wrapText="1"/>
    </xf>
    <xf numFmtId="166" fontId="23" fillId="4" borderId="3" xfId="3" applyNumberFormat="1" applyFont="1" applyFill="1" applyBorder="1" applyAlignment="1">
      <alignment vertical="top"/>
    </xf>
    <xf numFmtId="166" fontId="4" fillId="0" borderId="3" xfId="0" applyNumberFormat="1" applyFont="1" applyBorder="1" applyAlignment="1">
      <alignment horizontal="center" vertical="top" wrapText="1"/>
    </xf>
    <xf numFmtId="0" fontId="22" fillId="6" borderId="3" xfId="2" applyFont="1" applyFill="1" applyBorder="1" applyAlignment="1">
      <alignment vertical="top" wrapText="1" readingOrder="1"/>
    </xf>
    <xf numFmtId="175" fontId="18" fillId="0" borderId="3" xfId="0" applyNumberFormat="1" applyFont="1" applyBorder="1" applyAlignment="1">
      <alignment vertical="top"/>
    </xf>
    <xf numFmtId="166" fontId="5" fillId="0" borderId="3" xfId="0" applyNumberFormat="1" applyFont="1" applyBorder="1" applyAlignment="1">
      <alignment horizontal="center" vertical="top" wrapText="1"/>
    </xf>
    <xf numFmtId="0" fontId="22" fillId="4" borderId="3" xfId="2" applyFont="1" applyFill="1" applyBorder="1" applyAlignment="1">
      <alignment vertical="top" wrapText="1" readingOrder="1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5" fillId="4" borderId="3" xfId="2" applyFont="1" applyFill="1" applyBorder="1" applyAlignment="1">
      <alignment vertical="top" wrapText="1" readingOrder="1"/>
    </xf>
    <xf numFmtId="175" fontId="5" fillId="0" borderId="3" xfId="0" applyNumberFormat="1" applyFont="1" applyBorder="1" applyAlignment="1">
      <alignment vertical="top"/>
    </xf>
    <xf numFmtId="0" fontId="4" fillId="0" borderId="3" xfId="0" applyFont="1" applyBorder="1" applyAlignment="1" applyProtection="1">
      <alignment vertical="top" wrapText="1"/>
      <protection locked="0"/>
    </xf>
    <xf numFmtId="166" fontId="4" fillId="4" borderId="3" xfId="3" applyNumberFormat="1" applyFont="1" applyFill="1" applyBorder="1" applyAlignment="1">
      <alignment vertical="top"/>
    </xf>
    <xf numFmtId="176" fontId="21" fillId="6" borderId="3" xfId="2" applyNumberFormat="1" applyFont="1" applyFill="1" applyBorder="1" applyAlignment="1">
      <alignment vertical="top" wrapText="1" readingOrder="1"/>
    </xf>
    <xf numFmtId="166" fontId="23" fillId="6" borderId="3" xfId="1" applyNumberFormat="1" applyFont="1" applyFill="1" applyBorder="1" applyAlignment="1">
      <alignment vertical="top"/>
    </xf>
    <xf numFmtId="166" fontId="18" fillId="6" borderId="3" xfId="1" applyNumberFormat="1" applyFont="1" applyFill="1" applyBorder="1" applyAlignment="1">
      <alignment vertical="top"/>
    </xf>
    <xf numFmtId="176" fontId="22" fillId="6" borderId="3" xfId="2" applyNumberFormat="1" applyFont="1" applyFill="1" applyBorder="1" applyAlignment="1">
      <alignment vertical="top" wrapText="1" readingOrder="1"/>
    </xf>
    <xf numFmtId="175" fontId="23" fillId="0" borderId="3" xfId="0" applyNumberFormat="1" applyFont="1" applyBorder="1" applyAlignment="1">
      <alignment vertical="top"/>
    </xf>
    <xf numFmtId="166" fontId="23" fillId="6" borderId="3" xfId="3" applyNumberFormat="1" applyFont="1" applyFill="1" applyBorder="1" applyAlignment="1">
      <alignment vertical="top"/>
    </xf>
    <xf numFmtId="166" fontId="4" fillId="4" borderId="3" xfId="0" applyNumberFormat="1" applyFont="1" applyFill="1" applyBorder="1" applyAlignment="1" applyProtection="1">
      <alignment vertical="top" wrapText="1"/>
      <protection locked="0"/>
    </xf>
    <xf numFmtId="166" fontId="23" fillId="5" borderId="3" xfId="0" applyNumberFormat="1" applyFont="1" applyFill="1" applyBorder="1" applyAlignment="1">
      <alignment vertical="top"/>
    </xf>
    <xf numFmtId="166" fontId="18" fillId="4" borderId="3" xfId="0" applyNumberFormat="1" applyFont="1" applyFill="1" applyBorder="1" applyAlignment="1">
      <alignment vertical="top"/>
    </xf>
    <xf numFmtId="166" fontId="23" fillId="4" borderId="3" xfId="0" applyNumberFormat="1" applyFont="1" applyFill="1" applyBorder="1" applyAlignment="1">
      <alignment vertical="top"/>
    </xf>
    <xf numFmtId="3" fontId="66" fillId="4" borderId="3" xfId="0" applyNumberFormat="1" applyFont="1" applyFill="1" applyBorder="1" applyAlignment="1">
      <alignment vertical="top" wrapText="1"/>
    </xf>
    <xf numFmtId="43" fontId="21" fillId="12" borderId="3" xfId="3" quotePrefix="1" applyFont="1" applyFill="1" applyBorder="1" applyAlignment="1">
      <alignment vertical="top" wrapText="1"/>
    </xf>
    <xf numFmtId="43" fontId="21" fillId="4" borderId="3" xfId="3" applyFont="1" applyFill="1" applyBorder="1" applyAlignment="1">
      <alignment vertical="top" wrapText="1"/>
    </xf>
    <xf numFmtId="43" fontId="22" fillId="4" borderId="3" xfId="3" applyFont="1" applyFill="1" applyBorder="1" applyAlignment="1">
      <alignment vertical="top" wrapText="1"/>
    </xf>
    <xf numFmtId="43" fontId="21" fillId="4" borderId="3" xfId="3" quotePrefix="1" applyFont="1" applyFill="1" applyBorder="1" applyAlignment="1">
      <alignment vertical="top" wrapText="1"/>
    </xf>
    <xf numFmtId="43" fontId="20" fillId="4" borderId="0" xfId="3" applyFont="1" applyFill="1" applyAlignment="1">
      <alignment vertical="top" wrapText="1"/>
    </xf>
    <xf numFmtId="3" fontId="22" fillId="0" borderId="3" xfId="0" applyNumberFormat="1" applyFont="1" applyBorder="1" applyAlignment="1">
      <alignment vertical="top"/>
    </xf>
    <xf numFmtId="43" fontId="23" fillId="4" borderId="0" xfId="3" applyFont="1" applyFill="1" applyAlignment="1">
      <alignment vertical="top" wrapText="1"/>
    </xf>
    <xf numFmtId="43" fontId="23" fillId="4" borderId="3" xfId="3" applyFont="1" applyFill="1" applyBorder="1" applyAlignment="1">
      <alignment vertical="top" wrapText="1"/>
    </xf>
    <xf numFmtId="43" fontId="20" fillId="4" borderId="3" xfId="3" applyFont="1" applyFill="1" applyBorder="1" applyAlignment="1">
      <alignment vertical="top" wrapText="1"/>
    </xf>
    <xf numFmtId="43" fontId="49" fillId="4" borderId="3" xfId="3" applyFont="1" applyFill="1" applyBorder="1" applyAlignment="1">
      <alignment vertical="top" wrapText="1"/>
    </xf>
    <xf numFmtId="43" fontId="52" fillId="4" borderId="3" xfId="3" applyFont="1" applyFill="1" applyBorder="1" applyAlignment="1">
      <alignment vertical="top" wrapText="1"/>
    </xf>
    <xf numFmtId="0" fontId="20" fillId="0" borderId="0" xfId="0" applyFont="1" applyAlignment="1">
      <alignment vertical="top"/>
    </xf>
    <xf numFmtId="0" fontId="53" fillId="0" borderId="0" xfId="0" applyFont="1" applyAlignment="1">
      <alignment horizontal="right"/>
    </xf>
    <xf numFmtId="3" fontId="53" fillId="0" borderId="0" xfId="0" applyNumberFormat="1" applyFont="1" applyAlignment="1">
      <alignment horizontal="right"/>
    </xf>
    <xf numFmtId="166" fontId="53" fillId="0" borderId="0" xfId="1" applyNumberFormat="1" applyFont="1" applyAlignment="1">
      <alignment horizontal="right"/>
    </xf>
    <xf numFmtId="0" fontId="58" fillId="0" borderId="3" xfId="0" applyFont="1" applyBorder="1" applyAlignment="1">
      <alignment horizontal="right"/>
    </xf>
    <xf numFmtId="166" fontId="58" fillId="0" borderId="3" xfId="1" applyNumberFormat="1" applyFont="1" applyBorder="1" applyAlignment="1">
      <alignment horizontal="right"/>
    </xf>
    <xf numFmtId="167" fontId="54" fillId="0" borderId="3" xfId="3" applyNumberFormat="1" applyFont="1" applyBorder="1" applyAlignment="1">
      <alignment horizontal="right" vertical="center"/>
    </xf>
    <xf numFmtId="167" fontId="53" fillId="0" borderId="3" xfId="0" applyNumberFormat="1" applyFont="1" applyBorder="1" applyAlignment="1">
      <alignment horizontal="right"/>
    </xf>
    <xf numFmtId="167" fontId="53" fillId="0" borderId="3" xfId="3" applyNumberFormat="1" applyFont="1" applyBorder="1" applyAlignment="1">
      <alignment horizontal="right"/>
    </xf>
    <xf numFmtId="166" fontId="57" fillId="0" borderId="3" xfId="3" applyNumberFormat="1" applyFont="1" applyBorder="1" applyAlignment="1">
      <alignment horizontal="right"/>
    </xf>
    <xf numFmtId="3" fontId="54" fillId="0" borderId="3" xfId="0" applyNumberFormat="1" applyFont="1" applyBorder="1" applyAlignment="1">
      <alignment horizontal="right" vertical="center"/>
    </xf>
    <xf numFmtId="167" fontId="58" fillId="0" borderId="3" xfId="3" applyNumberFormat="1" applyFont="1" applyBorder="1" applyAlignment="1">
      <alignment horizontal="right"/>
    </xf>
    <xf numFmtId="166" fontId="23" fillId="0" borderId="3" xfId="1" applyNumberFormat="1" applyFont="1" applyBorder="1" applyAlignment="1">
      <alignment vertical="center" wrapText="1"/>
    </xf>
    <xf numFmtId="0" fontId="23" fillId="0" borderId="0" xfId="0" applyFont="1" applyAlignment="1">
      <alignment vertical="center"/>
    </xf>
    <xf numFmtId="166" fontId="23" fillId="0" borderId="0" xfId="1" applyNumberFormat="1" applyFont="1" applyAlignment="1">
      <alignment vertical="center"/>
    </xf>
    <xf numFmtId="166" fontId="18" fillId="0" borderId="3" xfId="0" applyNumberFormat="1" applyFont="1" applyBorder="1"/>
    <xf numFmtId="3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79" fontId="18" fillId="0" borderId="3" xfId="0" applyNumberFormat="1" applyFont="1" applyBorder="1"/>
    <xf numFmtId="167" fontId="18" fillId="0" borderId="0" xfId="0" applyNumberFormat="1" applyFont="1"/>
    <xf numFmtId="166" fontId="18" fillId="0" borderId="0" xfId="0" applyNumberFormat="1" applyFont="1"/>
    <xf numFmtId="166" fontId="50" fillId="0" borderId="3" xfId="1" applyNumberFormat="1" applyFont="1" applyBorder="1"/>
    <xf numFmtId="166" fontId="18" fillId="0" borderId="3" xfId="1" quotePrefix="1" applyNumberFormat="1" applyFont="1" applyBorder="1"/>
    <xf numFmtId="3" fontId="22" fillId="0" borderId="3" xfId="0" applyNumberFormat="1" applyFont="1" applyBorder="1"/>
    <xf numFmtId="9" fontId="18" fillId="0" borderId="3" xfId="8" applyFont="1" applyBorder="1"/>
    <xf numFmtId="175" fontId="9" fillId="4" borderId="0" xfId="0" applyNumberFormat="1" applyFont="1" applyFill="1" applyAlignment="1">
      <alignment vertical="center"/>
    </xf>
    <xf numFmtId="0" fontId="51" fillId="19" borderId="0" xfId="0" applyFont="1" applyFill="1" applyAlignment="1">
      <alignment vertical="center"/>
    </xf>
    <xf numFmtId="0" fontId="58" fillId="0" borderId="3" xfId="0" applyFont="1" applyBorder="1" applyAlignment="1">
      <alignment wrapText="1"/>
    </xf>
    <xf numFmtId="3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/>
    <xf numFmtId="3" fontId="23" fillId="0" borderId="3" xfId="0" applyNumberFormat="1" applyFont="1" applyBorder="1" applyAlignment="1">
      <alignment vertical="center" wrapText="1"/>
    </xf>
    <xf numFmtId="3" fontId="22" fillId="8" borderId="3" xfId="0" applyNumberFormat="1" applyFont="1" applyFill="1" applyBorder="1" applyAlignment="1">
      <alignment vertical="top"/>
    </xf>
    <xf numFmtId="174" fontId="0" fillId="0" borderId="0" xfId="0" applyNumberFormat="1"/>
    <xf numFmtId="166" fontId="18" fillId="4" borderId="3" xfId="3" applyNumberFormat="1" applyFont="1" applyFill="1" applyBorder="1" applyAlignment="1">
      <alignment horizontal="left" vertical="top"/>
    </xf>
    <xf numFmtId="167" fontId="18" fillId="4" borderId="3" xfId="3" applyNumberFormat="1" applyFont="1" applyFill="1" applyBorder="1" applyAlignment="1">
      <alignment horizontal="left"/>
    </xf>
    <xf numFmtId="0" fontId="23" fillId="4" borderId="6" xfId="0" applyFont="1" applyFill="1" applyBorder="1" applyAlignment="1">
      <alignment horizontal="left" vertical="top"/>
    </xf>
    <xf numFmtId="0" fontId="23" fillId="4" borderId="6" xfId="0" applyFont="1" applyFill="1" applyBorder="1" applyAlignment="1">
      <alignment vertical="top"/>
    </xf>
    <xf numFmtId="0" fontId="8" fillId="0" borderId="0" xfId="0" applyFont="1"/>
    <xf numFmtId="169" fontId="5" fillId="8" borderId="17" xfId="0" applyNumberFormat="1" applyFont="1" applyFill="1" applyBorder="1" applyAlignment="1">
      <alignment horizontal="right" vertical="top" wrapText="1"/>
    </xf>
    <xf numFmtId="0" fontId="67" fillId="0" borderId="0" xfId="0" applyFont="1"/>
    <xf numFmtId="43" fontId="67" fillId="0" borderId="0" xfId="0" applyNumberFormat="1" applyFont="1"/>
    <xf numFmtId="165" fontId="67" fillId="0" borderId="0" xfId="1" applyFont="1"/>
    <xf numFmtId="166" fontId="67" fillId="0" borderId="0" xfId="1" applyNumberFormat="1" applyFont="1"/>
    <xf numFmtId="0" fontId="67" fillId="0" borderId="0" xfId="0" applyFont="1" applyAlignment="1">
      <alignment horizontal="right"/>
    </xf>
    <xf numFmtId="0" fontId="68" fillId="0" borderId="0" xfId="0" applyFont="1" applyAlignment="1">
      <alignment horizontal="left" wrapText="1"/>
    </xf>
    <xf numFmtId="166" fontId="68" fillId="0" borderId="0" xfId="0" applyNumberFormat="1" applyFont="1" applyAlignment="1">
      <alignment horizontal="right"/>
    </xf>
    <xf numFmtId="3" fontId="67" fillId="0" borderId="0" xfId="0" applyNumberFormat="1" applyFont="1" applyAlignment="1">
      <alignment horizontal="right"/>
    </xf>
    <xf numFmtId="0" fontId="67" fillId="0" borderId="0" xfId="0" applyFont="1" applyAlignment="1">
      <alignment wrapText="1"/>
    </xf>
    <xf numFmtId="166" fontId="67" fillId="0" borderId="0" xfId="0" applyNumberFormat="1" applyFont="1"/>
    <xf numFmtId="3" fontId="67" fillId="0" borderId="0" xfId="0" applyNumberFormat="1" applyFont="1"/>
    <xf numFmtId="0" fontId="69" fillId="0" borderId="0" xfId="0" applyFont="1"/>
    <xf numFmtId="43" fontId="69" fillId="0" borderId="0" xfId="3" applyFont="1" applyFill="1"/>
    <xf numFmtId="3" fontId="69" fillId="0" borderId="0" xfId="0" applyNumberFormat="1" applyFont="1"/>
    <xf numFmtId="3" fontId="70" fillId="0" borderId="33" xfId="0" applyNumberFormat="1" applyFont="1" applyBorder="1" applyAlignment="1">
      <alignment vertical="center"/>
    </xf>
    <xf numFmtId="0" fontId="70" fillId="0" borderId="33" xfId="0" applyFont="1" applyBorder="1" applyAlignment="1">
      <alignment vertical="center"/>
    </xf>
    <xf numFmtId="3" fontId="71" fillId="0" borderId="33" xfId="0" applyNumberFormat="1" applyFont="1" applyBorder="1" applyAlignment="1">
      <alignment vertical="center"/>
    </xf>
    <xf numFmtId="166" fontId="72" fillId="0" borderId="0" xfId="1" applyNumberFormat="1" applyFont="1"/>
    <xf numFmtId="166" fontId="73" fillId="0" borderId="0" xfId="0" applyNumberFormat="1" applyFont="1"/>
    <xf numFmtId="0" fontId="73" fillId="0" borderId="0" xfId="0" applyFont="1"/>
    <xf numFmtId="0" fontId="72" fillId="0" borderId="0" xfId="0" applyFont="1"/>
    <xf numFmtId="166" fontId="74" fillId="0" borderId="3" xfId="1" applyNumberFormat="1" applyFont="1" applyBorder="1"/>
    <xf numFmtId="0" fontId="75" fillId="0" borderId="0" xfId="0" applyFont="1"/>
    <xf numFmtId="0" fontId="74" fillId="0" borderId="0" xfId="0" applyFont="1"/>
    <xf numFmtId="166" fontId="72" fillId="0" borderId="3" xfId="1" applyNumberFormat="1" applyFont="1" applyBorder="1"/>
    <xf numFmtId="166" fontId="75" fillId="0" borderId="0" xfId="0" applyNumberFormat="1" applyFont="1"/>
    <xf numFmtId="177" fontId="73" fillId="0" borderId="0" xfId="8" applyNumberFormat="1" applyFont="1"/>
    <xf numFmtId="0" fontId="5" fillId="0" borderId="3" xfId="0" applyFont="1" applyBorder="1"/>
    <xf numFmtId="166" fontId="76" fillId="0" borderId="3" xfId="1" applyNumberFormat="1" applyFont="1" applyBorder="1"/>
    <xf numFmtId="3" fontId="5" fillId="0" borderId="3" xfId="0" applyNumberFormat="1" applyFont="1" applyBorder="1" applyAlignment="1">
      <alignment vertical="center" wrapText="1"/>
    </xf>
    <xf numFmtId="0" fontId="4" fillId="0" borderId="3" xfId="0" applyFont="1" applyBorder="1"/>
    <xf numFmtId="166" fontId="77" fillId="0" borderId="3" xfId="1" applyNumberFormat="1" applyFont="1" applyBorder="1"/>
    <xf numFmtId="9" fontId="77" fillId="0" borderId="3" xfId="8" applyFont="1" applyBorder="1"/>
    <xf numFmtId="166" fontId="73" fillId="0" borderId="0" xfId="1" applyNumberFormat="1" applyFont="1"/>
    <xf numFmtId="0" fontId="67" fillId="0" borderId="0" xfId="0" applyFont="1" applyBorder="1"/>
    <xf numFmtId="166" fontId="73" fillId="0" borderId="0" xfId="1" applyNumberFormat="1" applyFont="1" applyBorder="1"/>
    <xf numFmtId="0" fontId="73" fillId="0" borderId="0" xfId="0" applyFont="1" applyBorder="1"/>
    <xf numFmtId="0" fontId="68" fillId="0" borderId="0" xfId="0" applyFont="1" applyBorder="1" applyAlignment="1">
      <alignment vertical="center"/>
    </xf>
    <xf numFmtId="0" fontId="67" fillId="0" borderId="0" xfId="0" applyFont="1" applyBorder="1" applyAlignment="1">
      <alignment vertical="center"/>
    </xf>
    <xf numFmtId="3" fontId="67" fillId="0" borderId="0" xfId="0" applyNumberFormat="1" applyFont="1" applyBorder="1" applyAlignment="1">
      <alignment vertical="center"/>
    </xf>
    <xf numFmtId="9" fontId="67" fillId="0" borderId="0" xfId="0" applyNumberFormat="1" applyFont="1" applyBorder="1" applyAlignment="1">
      <alignment vertical="center"/>
    </xf>
    <xf numFmtId="4" fontId="68" fillId="0" borderId="0" xfId="0" applyNumberFormat="1" applyFont="1" applyBorder="1" applyAlignment="1">
      <alignment vertical="center"/>
    </xf>
    <xf numFmtId="0" fontId="68" fillId="0" borderId="0" xfId="0" applyFont="1" applyBorder="1" applyAlignment="1">
      <alignment vertical="center" wrapText="1"/>
    </xf>
    <xf numFmtId="0" fontId="67" fillId="0" borderId="0" xfId="0" applyFont="1" applyBorder="1" applyAlignment="1">
      <alignment vertical="center" wrapText="1"/>
    </xf>
    <xf numFmtId="3" fontId="67" fillId="0" borderId="0" xfId="0" applyNumberFormat="1" applyFont="1" applyBorder="1" applyAlignment="1">
      <alignment vertical="center" wrapText="1"/>
    </xf>
    <xf numFmtId="0" fontId="73" fillId="0" borderId="0" xfId="0" applyFont="1" applyBorder="1" applyAlignment="1">
      <alignment vertical="top"/>
    </xf>
    <xf numFmtId="3" fontId="68" fillId="0" borderId="0" xfId="0" applyNumberFormat="1" applyFont="1" applyBorder="1" applyAlignment="1">
      <alignment vertical="center" wrapText="1"/>
    </xf>
    <xf numFmtId="3" fontId="68" fillId="0" borderId="0" xfId="0" applyNumberFormat="1" applyFont="1" applyBorder="1" applyAlignment="1">
      <alignment vertical="center"/>
    </xf>
    <xf numFmtId="0" fontId="18" fillId="0" borderId="0" xfId="0" applyFont="1" applyBorder="1"/>
    <xf numFmtId="166" fontId="72" fillId="0" borderId="0" xfId="1" applyNumberFormat="1" applyFont="1" applyBorder="1"/>
    <xf numFmtId="0" fontId="72" fillId="0" borderId="0" xfId="0" applyFont="1" applyBorder="1"/>
    <xf numFmtId="0" fontId="67" fillId="0" borderId="0" xfId="0" applyFont="1" applyAlignment="1">
      <alignment vertical="center" wrapText="1"/>
    </xf>
    <xf numFmtId="3" fontId="68" fillId="0" borderId="0" xfId="0" applyNumberFormat="1" applyFont="1"/>
    <xf numFmtId="9" fontId="67" fillId="0" borderId="0" xfId="8" applyFont="1"/>
    <xf numFmtId="0" fontId="78" fillId="0" borderId="0" xfId="0" applyFont="1"/>
    <xf numFmtId="43" fontId="78" fillId="0" borderId="0" xfId="0" applyNumberFormat="1" applyFont="1"/>
    <xf numFmtId="166" fontId="78" fillId="0" borderId="0" xfId="1" applyNumberFormat="1" applyFont="1"/>
    <xf numFmtId="165" fontId="78" fillId="0" borderId="0" xfId="1" applyFont="1"/>
    <xf numFmtId="165" fontId="78" fillId="0" borderId="0" xfId="0" applyNumberFormat="1" applyFont="1"/>
    <xf numFmtId="166" fontId="78" fillId="0" borderId="0" xfId="0" applyNumberFormat="1" applyFont="1"/>
    <xf numFmtId="43" fontId="78" fillId="0" borderId="0" xfId="0" applyNumberFormat="1" applyFont="1" applyFill="1"/>
    <xf numFmtId="166" fontId="68" fillId="0" borderId="0" xfId="1" applyNumberFormat="1" applyFont="1" applyBorder="1"/>
    <xf numFmtId="166" fontId="68" fillId="0" borderId="0" xfId="1" applyNumberFormat="1" applyFont="1"/>
    <xf numFmtId="0" fontId="68" fillId="0" borderId="0" xfId="0" applyFont="1"/>
    <xf numFmtId="166" fontId="67" fillId="0" borderId="0" xfId="1" applyNumberFormat="1" applyFont="1" applyBorder="1"/>
    <xf numFmtId="0" fontId="53" fillId="0" borderId="3" xfId="0" applyFont="1" applyFill="1" applyBorder="1"/>
    <xf numFmtId="3" fontId="53" fillId="0" borderId="3" xfId="0" applyNumberFormat="1" applyFont="1" applyFill="1" applyBorder="1"/>
    <xf numFmtId="0" fontId="69" fillId="0" borderId="0" xfId="0" applyFont="1" applyFill="1"/>
    <xf numFmtId="3" fontId="69" fillId="0" borderId="0" xfId="0" applyNumberFormat="1" applyFont="1" applyFill="1"/>
    <xf numFmtId="0" fontId="69" fillId="0" borderId="3" xfId="0" applyFont="1" applyFill="1" applyBorder="1"/>
    <xf numFmtId="3" fontId="69" fillId="0" borderId="3" xfId="0" applyNumberFormat="1" applyFont="1" applyFill="1" applyBorder="1"/>
    <xf numFmtId="167" fontId="79" fillId="0" borderId="3" xfId="3" applyNumberFormat="1" applyFont="1" applyFill="1" applyBorder="1"/>
    <xf numFmtId="3" fontId="80" fillId="0" borderId="3" xfId="0" applyNumberFormat="1" applyFont="1" applyFill="1" applyBorder="1" applyAlignment="1">
      <alignment horizontal="justify" vertical="center"/>
    </xf>
    <xf numFmtId="3" fontId="54" fillId="0" borderId="3" xfId="0" applyNumberFormat="1" applyFont="1" applyFill="1" applyBorder="1" applyAlignment="1">
      <alignment horizontal="right" vertical="center"/>
    </xf>
    <xf numFmtId="3" fontId="58" fillId="0" borderId="3" xfId="0" applyNumberFormat="1" applyFont="1" applyFill="1" applyBorder="1" applyAlignment="1">
      <alignment horizontal="right"/>
    </xf>
    <xf numFmtId="166" fontId="54" fillId="0" borderId="3" xfId="1" applyNumberFormat="1" applyFont="1" applyFill="1" applyBorder="1" applyAlignment="1">
      <alignment horizontal="right" vertical="center"/>
    </xf>
    <xf numFmtId="166" fontId="53" fillId="0" borderId="3" xfId="1" applyNumberFormat="1" applyFont="1" applyFill="1" applyBorder="1" applyAlignment="1">
      <alignment horizontal="right"/>
    </xf>
    <xf numFmtId="0" fontId="53" fillId="0" borderId="3" xfId="0" applyFont="1" applyFill="1" applyBorder="1" applyAlignment="1">
      <alignment horizontal="right"/>
    </xf>
    <xf numFmtId="167" fontId="58" fillId="0" borderId="3" xfId="3" applyNumberFormat="1" applyFont="1" applyFill="1" applyBorder="1" applyAlignment="1">
      <alignment horizontal="right"/>
    </xf>
    <xf numFmtId="0" fontId="4" fillId="18" borderId="3" xfId="0" applyFont="1" applyFill="1" applyBorder="1" applyAlignment="1">
      <alignment horizontal="center"/>
    </xf>
    <xf numFmtId="0" fontId="54" fillId="0" borderId="3" xfId="0" applyFont="1" applyBorder="1" applyAlignment="1">
      <alignment vertical="center"/>
    </xf>
    <xf numFmtId="0" fontId="59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top" wrapText="1"/>
    </xf>
    <xf numFmtId="0" fontId="37" fillId="0" borderId="9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1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43" fontId="23" fillId="4" borderId="3" xfId="3" applyFont="1" applyFill="1" applyBorder="1" applyAlignment="1">
      <alignment horizontal="left" vertical="top" wrapText="1"/>
    </xf>
    <xf numFmtId="43" fontId="21" fillId="4" borderId="3" xfId="3" quotePrefix="1" applyFont="1" applyFill="1" applyBorder="1" applyAlignment="1">
      <alignment horizontal="left" vertical="top" wrapText="1"/>
    </xf>
    <xf numFmtId="43" fontId="21" fillId="4" borderId="3" xfId="3" quotePrefix="1" applyFont="1" applyFill="1" applyBorder="1" applyAlignment="1">
      <alignment vertical="top" wrapText="1"/>
    </xf>
    <xf numFmtId="43" fontId="23" fillId="4" borderId="5" xfId="3" applyFont="1" applyFill="1" applyBorder="1" applyAlignment="1">
      <alignment horizontal="center" vertical="top" wrapText="1"/>
    </xf>
    <xf numFmtId="43" fontId="23" fillId="4" borderId="6" xfId="3" applyFont="1" applyFill="1" applyBorder="1" applyAlignment="1">
      <alignment horizontal="center" vertical="top" wrapText="1"/>
    </xf>
    <xf numFmtId="43" fontId="23" fillId="4" borderId="7" xfId="3" applyFont="1" applyFill="1" applyBorder="1" applyAlignment="1">
      <alignment horizontal="center" vertical="top" wrapText="1"/>
    </xf>
    <xf numFmtId="43" fontId="21" fillId="12" borderId="3" xfId="3" quotePrefix="1" applyFont="1" applyFill="1" applyBorder="1" applyAlignment="1">
      <alignment horizontal="left" vertical="top" wrapText="1"/>
    </xf>
    <xf numFmtId="43" fontId="21" fillId="12" borderId="3" xfId="3" quotePrefix="1" applyFont="1" applyFill="1" applyBorder="1" applyAlignment="1">
      <alignment vertical="top" wrapText="1"/>
    </xf>
    <xf numFmtId="43" fontId="21" fillId="4" borderId="5" xfId="3" quotePrefix="1" applyFont="1" applyFill="1" applyBorder="1" applyAlignment="1">
      <alignment horizontal="left" vertical="top" wrapText="1"/>
    </xf>
    <xf numFmtId="43" fontId="21" fillId="4" borderId="6" xfId="3" quotePrefix="1" applyFont="1" applyFill="1" applyBorder="1" applyAlignment="1">
      <alignment horizontal="left" vertical="top" wrapText="1"/>
    </xf>
    <xf numFmtId="43" fontId="21" fillId="4" borderId="7" xfId="3" quotePrefix="1" applyFont="1" applyFill="1" applyBorder="1" applyAlignment="1">
      <alignment horizontal="left" vertical="top" wrapText="1"/>
    </xf>
    <xf numFmtId="0" fontId="25" fillId="11" borderId="0" xfId="0" applyFont="1" applyFill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1" fillId="0" borderId="3" xfId="0" applyFont="1" applyBorder="1" applyAlignment="1">
      <alignment horizontal="left" wrapText="1"/>
    </xf>
    <xf numFmtId="0" fontId="4" fillId="4" borderId="0" xfId="0" applyFont="1" applyFill="1" applyAlignment="1">
      <alignment horizontal="center" vertical="top"/>
    </xf>
    <xf numFmtId="0" fontId="4" fillId="4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169" fontId="5" fillId="4" borderId="0" xfId="0" applyNumberFormat="1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4" fillId="0" borderId="25" xfId="0" applyFont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top" wrapText="1"/>
    </xf>
    <xf numFmtId="0" fontId="8" fillId="11" borderId="0" xfId="0" applyFont="1" applyFill="1" applyAlignment="1">
      <alignment horizontal="center" vertical="top" wrapText="1"/>
    </xf>
    <xf numFmtId="0" fontId="8" fillId="11" borderId="26" xfId="0" applyFont="1" applyFill="1" applyBorder="1" applyAlignment="1">
      <alignment horizontal="center" vertical="top" wrapText="1"/>
    </xf>
    <xf numFmtId="0" fontId="8" fillId="11" borderId="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0" fontId="8" fillId="11" borderId="7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vertical="top" wrapText="1"/>
    </xf>
    <xf numFmtId="0" fontId="8" fillId="11" borderId="5" xfId="0" applyFont="1" applyFill="1" applyBorder="1" applyAlignment="1">
      <alignment horizontal="left" vertical="top" wrapText="1"/>
    </xf>
    <xf numFmtId="0" fontId="8" fillId="11" borderId="6" xfId="0" applyFont="1" applyFill="1" applyBorder="1" applyAlignment="1">
      <alignment horizontal="left" vertical="top" wrapText="1"/>
    </xf>
    <xf numFmtId="0" fontId="8" fillId="11" borderId="7" xfId="0" applyFont="1" applyFill="1" applyBorder="1" applyAlignment="1">
      <alignment horizontal="left" vertical="top" wrapText="1"/>
    </xf>
    <xf numFmtId="0" fontId="8" fillId="11" borderId="3" xfId="0" applyFont="1" applyFill="1" applyBorder="1" applyAlignment="1">
      <alignment horizontal="left" vertical="top" wrapText="1"/>
    </xf>
    <xf numFmtId="0" fontId="8" fillId="11" borderId="3" xfId="0" applyFont="1" applyFill="1" applyBorder="1" applyAlignment="1">
      <alignment horizontal="left" vertical="top"/>
    </xf>
    <xf numFmtId="0" fontId="9" fillId="11" borderId="3" xfId="0" applyFont="1" applyFill="1" applyBorder="1" applyAlignment="1">
      <alignment horizontal="left" vertical="top" wrapText="1"/>
    </xf>
    <xf numFmtId="0" fontId="8" fillId="12" borderId="17" xfId="0" applyFont="1" applyFill="1" applyBorder="1" applyAlignment="1">
      <alignment horizontal="left" vertical="top" wrapText="1"/>
    </xf>
    <xf numFmtId="0" fontId="8" fillId="12" borderId="0" xfId="0" applyFont="1" applyFill="1" applyAlignment="1">
      <alignment horizontal="left" vertical="top" wrapText="1"/>
    </xf>
    <xf numFmtId="0" fontId="8" fillId="12" borderId="26" xfId="0" applyFont="1" applyFill="1" applyBorder="1" applyAlignment="1">
      <alignment horizontal="left" vertical="top" wrapText="1"/>
    </xf>
    <xf numFmtId="0" fontId="8" fillId="11" borderId="5" xfId="0" applyFont="1" applyFill="1" applyBorder="1" applyAlignment="1">
      <alignment horizontal="left" vertical="top"/>
    </xf>
    <xf numFmtId="0" fontId="8" fillId="11" borderId="6" xfId="0" applyFont="1" applyFill="1" applyBorder="1" applyAlignment="1">
      <alignment horizontal="left" vertical="top"/>
    </xf>
    <xf numFmtId="0" fontId="8" fillId="11" borderId="7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center"/>
    </xf>
  </cellXfs>
  <cellStyles count="9">
    <cellStyle name="Comma" xfId="1" builtinId="3"/>
    <cellStyle name="Comma 10" xfId="6"/>
    <cellStyle name="Comma 10 2" xfId="7"/>
    <cellStyle name="Comma 2 4" xfId="3"/>
    <cellStyle name="Comma 3" xfId="4"/>
    <cellStyle name="Comma 4" xfId="5"/>
    <cellStyle name="Normal" xfId="0" builtinId="0"/>
    <cellStyle name="Normal 2" xfId="2"/>
    <cellStyle name="Percent" xfId="8" builtinId="5"/>
  </cellStyles>
  <dxfs count="6">
    <dxf>
      <font>
        <strike val="0"/>
        <outline val="0"/>
        <shadow val="0"/>
        <u val="none"/>
        <vertAlign val="baseline"/>
        <sz val="12"/>
        <name val="Georgia"/>
        <scheme val="none"/>
      </font>
      <numFmt numFmtId="3" formatCode="#,##0"/>
      <alignment vertical="top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Georgia"/>
        <scheme val="none"/>
      </font>
      <numFmt numFmtId="3" formatCode="#,##0"/>
      <alignment vertical="top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Georgia"/>
        <scheme val="none"/>
      </font>
      <numFmt numFmtId="3" formatCode="#,##0"/>
      <alignment vertical="top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name val="Georgia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Georgia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Georgia"/>
        <scheme val="none"/>
      </font>
      <alignment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423405</xdr:colOff>
      <xdr:row>19</xdr:row>
      <xdr:rowOff>168480</xdr:rowOff>
    </xdr:from>
    <xdr:to>
      <xdr:col>6</xdr:col>
      <xdr:colOff>423765</xdr:colOff>
      <xdr:row>19</xdr:row>
      <xdr:rowOff>168840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xmlns="" id="{4F2954A8-B916-3479-D93A-BF5C17C9CA98}"/>
                </a:ext>
              </a:extLst>
            </xdr14:cNvPr>
            <xdr14:cNvContentPartPr/>
          </xdr14:nvContentPartPr>
          <xdr14:nvPr macro=""/>
          <xdr14:xfrm>
            <a:off x="10205580" y="1182708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4F2954A8-B916-3479-D93A-BF5C17C9CA9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201260" y="118227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ca4cd5543c5ac04/Documents/budget%20work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he/Downloads/Scenario%201%20cu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pproved%20Budget%20%2002-2024(2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s"/>
      <sheetName val="Resource envelope"/>
      <sheetName val="Economic Classicication"/>
      <sheetName val="co- funding"/>
      <sheetName val="ward based"/>
      <sheetName val="personnel"/>
      <sheetName val="Sheet3"/>
    </sheetNames>
    <sheetDataSet>
      <sheetData sheetId="0" refreshError="1"/>
      <sheetData sheetId="1" refreshError="1">
        <row r="19">
          <cell r="D19">
            <v>15609415275</v>
          </cell>
        </row>
      </sheetData>
      <sheetData sheetId="2" refreshError="1"/>
      <sheetData sheetId="3" refreshError="1">
        <row r="14">
          <cell r="B14">
            <v>522166000</v>
          </cell>
          <cell r="C14">
            <v>289703000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ry"/>
      <sheetName val="Agriculture"/>
      <sheetName val="Bungoma Municipality"/>
      <sheetName val="Housing"/>
      <sheetName val="Lands"/>
      <sheetName val="Kimilili"/>
      <sheetName val="Water and Tourism"/>
      <sheetName val="Roads"/>
      <sheetName val="Public Admin"/>
      <sheetName val="Gender"/>
      <sheetName val="cpsb"/>
      <sheetName val="finance"/>
      <sheetName val="Health"/>
      <sheetName val="trade"/>
      <sheetName val="Edu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E6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lassification"/>
      <sheetName val="Sheet8"/>
      <sheetName val="REC &amp; DEV"/>
      <sheetName val="Resource envelope"/>
      <sheetName val="Grants"/>
      <sheetName val="Local Rev."/>
      <sheetName val="pending bills"/>
      <sheetName val="Critical Programmes and savings"/>
      <sheetName val="Sheet1"/>
      <sheetName val="Crtical 2"/>
      <sheetName val="Agriculture"/>
      <sheetName val="Tourism &amp; water"/>
      <sheetName val="Education"/>
      <sheetName val="Roads"/>
      <sheetName val="Finance"/>
      <sheetName val="Health"/>
      <sheetName val="Trade"/>
      <sheetName val="Lands &amp;hsing &amp; municipalities"/>
      <sheetName val="Gov."/>
      <sheetName val="Gender"/>
      <sheetName val="Public Admin"/>
      <sheetName val="CPSB"/>
      <sheetName val="Assembly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7">
          <cell r="D27">
            <v>25610264.332768999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4-29T09:49:07.740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0 9944 0 0,'0'0'-7464'0'0</inkml:trace>
</inkml:ink>
</file>

<file path=xl/persons/person.xml><?xml version="1.0" encoding="utf-8"?>
<personList xmlns="http://schemas.microsoft.com/office/spreadsheetml/2018/threadedcomments" xmlns:x="http://schemas.openxmlformats.org/spreadsheetml/2006/main">
  <person displayName="esther mukhula" id="{B77A6B76-1137-4888-B44A-DA2C7DA7E271}" userId="2ca4cd5543c5ac04" providerId="Windows Live"/>
</personList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9">
    <queryTableFields count="4">
      <queryTableField id="1" name="  " tableColumnId="1"/>
      <queryTableField id="2" name="Estimates" tableColumnId="2"/>
      <queryTableField id="3" name="Projected" tableColumnId="3"/>
      <queryTableField id="4" name="Projected  " tableColumnId="4"/>
    </queryTableFields>
    <queryTableDeletedFields count="1">
      <deletedField name="Draft Budget Estimates FY 2026/2027-CAB HQ - D491900010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Query113" displayName="Query113" ref="A4:D122" tableType="queryTable" totalsRowShown="0" headerRowDxfId="5" dataDxfId="4">
  <autoFilter ref="A4:D122"/>
  <sortState ref="A5:E163">
    <sortCondition ref="A3:A160"/>
  </sortState>
  <tableColumns count="4">
    <tableColumn id="1" uniqueName="1" name="Item Description" queryTableFieldId="1" dataDxfId="3"/>
    <tableColumn id="2" uniqueName="2" name="Estimates" queryTableFieldId="2" dataDxfId="2"/>
    <tableColumn id="3" uniqueName="3" name="Projected" queryTableFieldId="3" dataDxfId="1"/>
    <tableColumn id="4" uniqueName="4" name="Projected  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1" dT="2026-04-29T17:32:20.38" personId="{B77A6B76-1137-4888-B44A-DA2C7DA7E271}" id="{A321011C-5214-4B89-843E-3153BE307148}">
    <text>Pension 150n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B35" zoomScale="98" workbookViewId="0">
      <selection activeCell="D56" sqref="D56"/>
    </sheetView>
  </sheetViews>
  <sheetFormatPr defaultColWidth="9" defaultRowHeight="15.5"/>
  <cols>
    <col min="1" max="1" width="9" style="111"/>
    <col min="2" max="2" width="43.1796875" style="340" customWidth="1"/>
    <col min="3" max="5" width="19.90625" style="111" customWidth="1"/>
    <col min="6" max="6" width="18.90625" style="111" customWidth="1"/>
    <col min="7" max="7" width="17.453125" style="111" customWidth="1"/>
    <col min="8" max="8" width="16.36328125" style="630" customWidth="1"/>
    <col min="9" max="9" width="14.36328125" style="111" customWidth="1"/>
    <col min="10" max="16384" width="9" style="111"/>
  </cols>
  <sheetData>
    <row r="1" spans="1:8">
      <c r="A1" s="368"/>
      <c r="B1" s="369" t="s">
        <v>869</v>
      </c>
      <c r="C1" s="370"/>
      <c r="D1" s="370"/>
      <c r="E1" s="616"/>
      <c r="F1" s="360"/>
      <c r="G1" s="360"/>
    </row>
    <row r="2" spans="1:8">
      <c r="A2" s="371"/>
      <c r="B2" s="372"/>
      <c r="C2" s="373"/>
      <c r="D2" s="373"/>
      <c r="E2" s="616"/>
      <c r="F2" s="360"/>
      <c r="G2" s="360"/>
    </row>
    <row r="3" spans="1:8">
      <c r="A3" s="358"/>
      <c r="B3" s="709" t="s">
        <v>826</v>
      </c>
      <c r="C3" s="709"/>
      <c r="D3" s="359"/>
      <c r="E3" s="359"/>
      <c r="F3" s="359"/>
      <c r="G3" s="359"/>
    </row>
    <row r="4" spans="1:8" ht="46.5">
      <c r="A4" s="375" t="s">
        <v>827</v>
      </c>
      <c r="B4" s="375" t="s">
        <v>828</v>
      </c>
      <c r="C4" s="375" t="s">
        <v>865</v>
      </c>
      <c r="D4" s="375" t="s">
        <v>829</v>
      </c>
      <c r="E4" s="375" t="s">
        <v>1177</v>
      </c>
      <c r="F4" s="376" t="s">
        <v>868</v>
      </c>
      <c r="G4" s="376" t="s">
        <v>830</v>
      </c>
    </row>
    <row r="5" spans="1:8">
      <c r="A5" s="361">
        <v>1</v>
      </c>
      <c r="B5" s="97" t="s">
        <v>831</v>
      </c>
      <c r="C5" s="362">
        <v>11688348752</v>
      </c>
      <c r="D5" s="362">
        <v>12524956713.75</v>
      </c>
      <c r="E5" s="363">
        <v>11982415701</v>
      </c>
      <c r="F5" s="363">
        <v>11982415701</v>
      </c>
      <c r="G5" s="364">
        <f t="shared" ref="G5:G43" si="0">F5/$F$43</f>
        <v>0.70860803421012042</v>
      </c>
    </row>
    <row r="6" spans="1:8" ht="31">
      <c r="A6" s="361">
        <v>2</v>
      </c>
      <c r="B6" s="97" t="s">
        <v>832</v>
      </c>
      <c r="C6" s="362">
        <f>SUM(C7:C16)</f>
        <v>617823419</v>
      </c>
      <c r="D6" s="362">
        <f t="shared" ref="D6:F6" si="1">SUM(D7:D16)</f>
        <v>625511033</v>
      </c>
      <c r="E6" s="362">
        <f t="shared" ref="E6" si="2">SUM(E7:E16)</f>
        <v>34500000</v>
      </c>
      <c r="F6" s="362">
        <f t="shared" si="1"/>
        <v>33500000</v>
      </c>
      <c r="G6" s="364">
        <f t="shared" si="0"/>
        <v>1.9811004507261365E-3</v>
      </c>
    </row>
    <row r="7" spans="1:8">
      <c r="A7" s="361"/>
      <c r="B7" s="100" t="s">
        <v>833</v>
      </c>
      <c r="C7" s="365">
        <v>7400000</v>
      </c>
      <c r="D7" s="365">
        <v>7400000</v>
      </c>
      <c r="E7" s="366"/>
      <c r="F7" s="366"/>
      <c r="G7" s="364">
        <f t="shared" si="0"/>
        <v>0</v>
      </c>
    </row>
    <row r="8" spans="1:8">
      <c r="A8" s="361"/>
      <c r="B8" s="100" t="s">
        <v>834</v>
      </c>
      <c r="C8" s="365">
        <v>105600000</v>
      </c>
      <c r="D8" s="365">
        <v>0</v>
      </c>
      <c r="E8" s="366"/>
      <c r="F8" s="366"/>
      <c r="G8" s="364">
        <f t="shared" si="0"/>
        <v>0</v>
      </c>
    </row>
    <row r="9" spans="1:8">
      <c r="A9" s="361"/>
      <c r="B9" s="100" t="s">
        <v>835</v>
      </c>
      <c r="C9" s="365"/>
      <c r="D9" s="365">
        <v>14331000</v>
      </c>
      <c r="E9" s="366"/>
      <c r="F9" s="366"/>
      <c r="G9" s="364">
        <f t="shared" si="0"/>
        <v>0</v>
      </c>
    </row>
    <row r="10" spans="1:8" ht="31">
      <c r="A10" s="361"/>
      <c r="B10" s="68" t="s">
        <v>836</v>
      </c>
      <c r="C10" s="367"/>
      <c r="D10" s="367">
        <v>10918919</v>
      </c>
      <c r="E10" s="366"/>
      <c r="F10" s="366"/>
      <c r="G10" s="364">
        <f t="shared" si="0"/>
        <v>0</v>
      </c>
    </row>
    <row r="11" spans="1:8">
      <c r="A11" s="361"/>
      <c r="B11" s="100" t="s">
        <v>579</v>
      </c>
      <c r="C11" s="365">
        <v>107400000</v>
      </c>
      <c r="D11" s="365">
        <v>0</v>
      </c>
      <c r="E11" s="366"/>
      <c r="F11" s="366"/>
      <c r="G11" s="364">
        <f t="shared" si="0"/>
        <v>0</v>
      </c>
      <c r="H11" s="631"/>
    </row>
    <row r="12" spans="1:8">
      <c r="A12" s="361"/>
      <c r="B12" s="100" t="s">
        <v>867</v>
      </c>
      <c r="C12" s="365"/>
      <c r="D12" s="365">
        <v>0</v>
      </c>
      <c r="E12" s="366">
        <v>0</v>
      </c>
      <c r="F12" s="366">
        <v>0</v>
      </c>
      <c r="G12" s="364">
        <f t="shared" si="0"/>
        <v>0</v>
      </c>
    </row>
    <row r="13" spans="1:8">
      <c r="A13" s="361"/>
      <c r="B13" s="100" t="s">
        <v>837</v>
      </c>
      <c r="C13" s="365">
        <v>133368420</v>
      </c>
      <c r="D13" s="365">
        <v>204706886</v>
      </c>
      <c r="E13" s="366"/>
      <c r="F13" s="366"/>
      <c r="G13" s="364">
        <f t="shared" si="0"/>
        <v>0</v>
      </c>
    </row>
    <row r="14" spans="1:8" ht="31">
      <c r="A14" s="361"/>
      <c r="B14" s="100" t="s">
        <v>838</v>
      </c>
      <c r="C14" s="365">
        <v>45000000</v>
      </c>
      <c r="D14" s="365">
        <v>0</v>
      </c>
      <c r="E14" s="366"/>
      <c r="F14" s="366"/>
      <c r="G14" s="364">
        <f t="shared" si="0"/>
        <v>0</v>
      </c>
    </row>
    <row r="15" spans="1:8" ht="31">
      <c r="A15" s="361"/>
      <c r="B15" s="100" t="s">
        <v>839</v>
      </c>
      <c r="C15" s="365">
        <v>34500000</v>
      </c>
      <c r="D15" s="365">
        <v>94202157</v>
      </c>
      <c r="E15" s="437">
        <v>34500000</v>
      </c>
      <c r="F15" s="437">
        <v>33500000</v>
      </c>
      <c r="G15" s="364">
        <f t="shared" si="0"/>
        <v>1.9811004507261365E-3</v>
      </c>
    </row>
    <row r="16" spans="1:8">
      <c r="A16" s="361"/>
      <c r="B16" s="100" t="s">
        <v>840</v>
      </c>
      <c r="C16" s="365">
        <v>184554999</v>
      </c>
      <c r="D16" s="365">
        <v>293952071</v>
      </c>
      <c r="E16" s="365">
        <v>0</v>
      </c>
      <c r="F16" s="366"/>
      <c r="G16" s="364">
        <f t="shared" si="0"/>
        <v>0</v>
      </c>
    </row>
    <row r="17" spans="1:7" ht="31">
      <c r="A17" s="361">
        <v>3</v>
      </c>
      <c r="B17" s="97" t="s">
        <v>841</v>
      </c>
      <c r="C17" s="362">
        <f>SUM(C18:C31)</f>
        <v>1654108119</v>
      </c>
      <c r="D17" s="362">
        <f t="shared" ref="D17:F17" si="3">SUM(D18:D31)</f>
        <v>2200506069.0599999</v>
      </c>
      <c r="E17" s="362">
        <f t="shared" si="3"/>
        <v>1632676050</v>
      </c>
      <c r="F17" s="362">
        <f t="shared" si="3"/>
        <v>2179580224</v>
      </c>
      <c r="G17" s="364">
        <f t="shared" si="0"/>
        <v>0.12889454818388577</v>
      </c>
    </row>
    <row r="18" spans="1:7">
      <c r="A18" s="361"/>
      <c r="B18" s="100" t="s">
        <v>842</v>
      </c>
      <c r="C18" s="365">
        <v>1571000</v>
      </c>
      <c r="D18" s="365">
        <v>0</v>
      </c>
      <c r="E18" s="365"/>
      <c r="F18" s="366"/>
      <c r="G18" s="364">
        <f t="shared" si="0"/>
        <v>0</v>
      </c>
    </row>
    <row r="19" spans="1:7" ht="31">
      <c r="A19" s="361"/>
      <c r="B19" s="100" t="s">
        <v>843</v>
      </c>
      <c r="C19" s="365">
        <v>13698750</v>
      </c>
      <c r="D19" s="365">
        <v>16202705.649999999</v>
      </c>
      <c r="E19" s="365"/>
      <c r="F19" s="366"/>
      <c r="G19" s="364">
        <f t="shared" si="0"/>
        <v>0</v>
      </c>
    </row>
    <row r="20" spans="1:7">
      <c r="A20" s="361"/>
      <c r="B20" s="100" t="s">
        <v>844</v>
      </c>
      <c r="C20" s="365"/>
      <c r="D20" s="365">
        <v>391720.99</v>
      </c>
      <c r="E20" s="365"/>
      <c r="F20" s="366"/>
      <c r="G20" s="364">
        <f t="shared" si="0"/>
        <v>0</v>
      </c>
    </row>
    <row r="21" spans="1:7" ht="31">
      <c r="A21" s="361"/>
      <c r="B21" s="100" t="s">
        <v>845</v>
      </c>
      <c r="C21" s="365">
        <v>151515152</v>
      </c>
      <c r="D21" s="365">
        <v>231843531</v>
      </c>
      <c r="E21" s="437">
        <v>151515152</v>
      </c>
      <c r="F21" s="437">
        <v>105000000</v>
      </c>
      <c r="G21" s="364">
        <f t="shared" si="0"/>
        <v>6.2094193231714721E-3</v>
      </c>
    </row>
    <row r="22" spans="1:7" ht="31">
      <c r="A22" s="361"/>
      <c r="B22" s="100" t="s">
        <v>846</v>
      </c>
      <c r="C22" s="365">
        <v>37500000</v>
      </c>
      <c r="D22" s="365">
        <v>73237537.299999997</v>
      </c>
      <c r="E22" s="437">
        <v>37500000</v>
      </c>
      <c r="F22" s="437">
        <v>37500000</v>
      </c>
      <c r="G22" s="364">
        <f t="shared" si="0"/>
        <v>2.2176497582755256E-3</v>
      </c>
    </row>
    <row r="23" spans="1:7" ht="31">
      <c r="A23" s="361"/>
      <c r="B23" s="100" t="s">
        <v>847</v>
      </c>
      <c r="C23" s="365">
        <v>352500000</v>
      </c>
      <c r="D23" s="365">
        <v>352500000</v>
      </c>
      <c r="E23" s="437">
        <v>352500000</v>
      </c>
      <c r="F23" s="437">
        <v>352500000</v>
      </c>
      <c r="G23" s="364">
        <f t="shared" si="0"/>
        <v>2.0845907727789943E-2</v>
      </c>
    </row>
    <row r="24" spans="1:7">
      <c r="A24" s="361"/>
      <c r="B24" s="100" t="s">
        <v>848</v>
      </c>
      <c r="C24" s="365">
        <v>100434139</v>
      </c>
      <c r="D24" s="365">
        <v>100440486.56999999</v>
      </c>
      <c r="E24" s="437">
        <v>100434139</v>
      </c>
      <c r="F24" s="437">
        <v>100434139</v>
      </c>
      <c r="G24" s="364">
        <f t="shared" si="0"/>
        <v>5.9394065086922814E-3</v>
      </c>
    </row>
    <row r="25" spans="1:7">
      <c r="A25" s="361"/>
      <c r="B25" s="100" t="s">
        <v>849</v>
      </c>
      <c r="C25" s="365">
        <v>35000000</v>
      </c>
      <c r="D25" s="365">
        <v>35106668.549999997</v>
      </c>
      <c r="E25" s="437">
        <v>35000000</v>
      </c>
      <c r="F25" s="437">
        <v>35000000</v>
      </c>
      <c r="G25" s="364">
        <f t="shared" si="0"/>
        <v>2.0698064410571574E-3</v>
      </c>
    </row>
    <row r="26" spans="1:7" ht="31">
      <c r="A26" s="361"/>
      <c r="B26" s="100" t="s">
        <v>850</v>
      </c>
      <c r="C26" s="365">
        <v>297400190</v>
      </c>
      <c r="D26" s="365">
        <v>300614270</v>
      </c>
      <c r="E26" s="437">
        <v>297400190</v>
      </c>
      <c r="F26" s="437">
        <v>297400190</v>
      </c>
      <c r="G26" s="364">
        <f t="shared" si="0"/>
        <v>1.7587452252389214E-2</v>
      </c>
    </row>
    <row r="27" spans="1:7">
      <c r="A27" s="361"/>
      <c r="B27" s="100" t="s">
        <v>867</v>
      </c>
      <c r="C27" s="365"/>
      <c r="D27" s="365">
        <v>0</v>
      </c>
      <c r="E27" s="366">
        <v>350000000</v>
      </c>
      <c r="F27" s="366">
        <v>350000000</v>
      </c>
      <c r="G27" s="364">
        <f t="shared" si="0"/>
        <v>2.0698064410571575E-2</v>
      </c>
    </row>
    <row r="28" spans="1:7">
      <c r="A28" s="361"/>
      <c r="B28" s="100" t="s">
        <v>1173</v>
      </c>
      <c r="C28" s="365"/>
      <c r="D28" s="365"/>
      <c r="E28" s="366"/>
      <c r="F28" s="366">
        <v>93419326</v>
      </c>
      <c r="G28" s="364">
        <f t="shared" si="0"/>
        <v>5.5245692192576676E-3</v>
      </c>
    </row>
    <row r="29" spans="1:7" ht="31">
      <c r="A29" s="361"/>
      <c r="B29" s="100" t="s">
        <v>851</v>
      </c>
      <c r="C29" s="365">
        <v>11000000</v>
      </c>
      <c r="D29" s="365">
        <v>0</v>
      </c>
      <c r="E29" s="366"/>
      <c r="F29" s="366"/>
      <c r="G29" s="364">
        <f t="shared" si="0"/>
        <v>0</v>
      </c>
    </row>
    <row r="30" spans="1:7">
      <c r="A30" s="361"/>
      <c r="B30" s="100" t="s">
        <v>823</v>
      </c>
      <c r="C30" s="365">
        <v>153488888</v>
      </c>
      <c r="D30" s="365">
        <v>590169149</v>
      </c>
      <c r="E30" s="437">
        <v>308326569</v>
      </c>
      <c r="F30" s="437">
        <v>308326569</v>
      </c>
      <c r="G30" s="364">
        <f t="shared" si="0"/>
        <v>1.8233609099007259E-2</v>
      </c>
    </row>
    <row r="31" spans="1:7" ht="31">
      <c r="A31" s="361"/>
      <c r="B31" s="97" t="s">
        <v>852</v>
      </c>
      <c r="C31" s="365">
        <v>500000000</v>
      </c>
      <c r="D31" s="365">
        <v>500000000</v>
      </c>
      <c r="E31" s="366"/>
      <c r="F31" s="366">
        <v>500000000</v>
      </c>
      <c r="G31" s="364">
        <f t="shared" si="0"/>
        <v>2.9568663443673676E-2</v>
      </c>
    </row>
    <row r="32" spans="1:7">
      <c r="A32" s="361">
        <v>4</v>
      </c>
      <c r="B32" s="97" t="s">
        <v>853</v>
      </c>
      <c r="C32" s="362">
        <f>SUM(C33:C38)</f>
        <v>0</v>
      </c>
      <c r="D32" s="362">
        <v>4763277.9700000007</v>
      </c>
      <c r="E32" s="362"/>
      <c r="F32" s="362"/>
      <c r="G32" s="364">
        <f t="shared" si="0"/>
        <v>0</v>
      </c>
    </row>
    <row r="33" spans="1:9">
      <c r="A33" s="361"/>
      <c r="B33" s="100" t="s">
        <v>854</v>
      </c>
      <c r="C33" s="362"/>
      <c r="D33" s="362">
        <v>3435064.2</v>
      </c>
      <c r="E33" s="362"/>
      <c r="F33" s="366"/>
      <c r="G33" s="364">
        <f t="shared" si="0"/>
        <v>0</v>
      </c>
    </row>
    <row r="34" spans="1:9">
      <c r="A34" s="361"/>
      <c r="B34" s="100" t="s">
        <v>855</v>
      </c>
      <c r="C34" s="362"/>
      <c r="D34" s="362">
        <v>155250.4</v>
      </c>
      <c r="E34" s="362"/>
      <c r="F34" s="366"/>
      <c r="G34" s="364">
        <f t="shared" si="0"/>
        <v>0</v>
      </c>
    </row>
    <row r="35" spans="1:9">
      <c r="A35" s="361"/>
      <c r="B35" s="100" t="s">
        <v>856</v>
      </c>
      <c r="C35" s="362"/>
      <c r="D35" s="362">
        <v>26510.7</v>
      </c>
      <c r="E35" s="362"/>
      <c r="F35" s="366"/>
      <c r="G35" s="364">
        <f t="shared" si="0"/>
        <v>0</v>
      </c>
    </row>
    <row r="36" spans="1:9">
      <c r="A36" s="361"/>
      <c r="B36" s="100" t="s">
        <v>857</v>
      </c>
      <c r="C36" s="362"/>
      <c r="D36" s="362">
        <v>25991.74</v>
      </c>
      <c r="E36" s="362"/>
      <c r="F36" s="366"/>
      <c r="G36" s="364">
        <f t="shared" si="0"/>
        <v>0</v>
      </c>
    </row>
    <row r="37" spans="1:9">
      <c r="A37" s="361"/>
      <c r="B37" s="100" t="s">
        <v>858</v>
      </c>
      <c r="C37" s="362"/>
      <c r="D37" s="362">
        <v>365960.93</v>
      </c>
      <c r="E37" s="362"/>
      <c r="F37" s="366"/>
      <c r="G37" s="364">
        <f t="shared" si="0"/>
        <v>0</v>
      </c>
    </row>
    <row r="38" spans="1:9">
      <c r="A38" s="361"/>
      <c r="B38" s="100" t="s">
        <v>859</v>
      </c>
      <c r="C38" s="362"/>
      <c r="D38" s="362">
        <v>754500</v>
      </c>
      <c r="E38" s="362"/>
      <c r="F38" s="620"/>
      <c r="G38" s="364">
        <f t="shared" si="0"/>
        <v>0</v>
      </c>
    </row>
    <row r="39" spans="1:9">
      <c r="A39" s="361">
        <v>5</v>
      </c>
      <c r="B39" s="97" t="s">
        <v>860</v>
      </c>
      <c r="C39" s="362">
        <f>C40</f>
        <v>1295070023</v>
      </c>
      <c r="D39" s="362">
        <f t="shared" ref="D39:F39" si="4">D40</f>
        <v>1393562696.2</v>
      </c>
      <c r="E39" s="362">
        <f>E40</f>
        <v>1359820000</v>
      </c>
      <c r="F39" s="362">
        <f t="shared" si="4"/>
        <v>1888432329</v>
      </c>
      <c r="G39" s="364">
        <f t="shared" si="0"/>
        <v>0.11167683994470769</v>
      </c>
    </row>
    <row r="40" spans="1:9">
      <c r="A40" s="361"/>
      <c r="B40" s="100" t="s">
        <v>861</v>
      </c>
      <c r="C40" s="365">
        <v>1295070023</v>
      </c>
      <c r="D40" s="365">
        <v>1393562696.2</v>
      </c>
      <c r="E40" s="365">
        <v>1359820000</v>
      </c>
      <c r="F40" s="437">
        <f>469608804+1359820000+3525+59000000</f>
        <v>1888432329</v>
      </c>
      <c r="G40" s="364">
        <f t="shared" si="0"/>
        <v>0.11167683994470769</v>
      </c>
      <c r="H40" s="632">
        <v>469608804.92366397</v>
      </c>
    </row>
    <row r="41" spans="1:9" ht="31">
      <c r="A41" s="361">
        <v>6</v>
      </c>
      <c r="B41" s="97" t="s">
        <v>862</v>
      </c>
      <c r="C41" s="362">
        <v>671057448</v>
      </c>
      <c r="D41" s="362">
        <v>683892147.48000002</v>
      </c>
      <c r="E41" s="362">
        <v>600000000</v>
      </c>
      <c r="F41" s="621">
        <f>175865486+600000000+50000000</f>
        <v>825865486</v>
      </c>
      <c r="G41" s="364">
        <f t="shared" si="0"/>
        <v>4.8839477210559992E-2</v>
      </c>
      <c r="H41" s="633">
        <v>175865486</v>
      </c>
      <c r="I41" s="632">
        <v>50000000</v>
      </c>
    </row>
    <row r="42" spans="1:9">
      <c r="A42" s="361"/>
      <c r="B42" s="100" t="s">
        <v>863</v>
      </c>
      <c r="C42" s="365" t="s">
        <v>864</v>
      </c>
      <c r="D42" s="365">
        <v>0</v>
      </c>
      <c r="E42" s="365"/>
      <c r="F42" s="366"/>
      <c r="G42" s="364">
        <f t="shared" si="0"/>
        <v>0</v>
      </c>
      <c r="H42" s="631">
        <f>H41+I41</f>
        <v>225865486</v>
      </c>
    </row>
    <row r="43" spans="1:9">
      <c r="A43" s="361"/>
      <c r="B43" s="97" t="s">
        <v>825</v>
      </c>
      <c r="C43" s="362">
        <f>C41+C39+C17+C6+C5+C32</f>
        <v>15926407761</v>
      </c>
      <c r="D43" s="362">
        <f t="shared" ref="D43:F43" si="5">D41+D39+D17+D6+D5+D32</f>
        <v>17433191937.459999</v>
      </c>
      <c r="E43" s="362">
        <f t="shared" si="5"/>
        <v>15609411751</v>
      </c>
      <c r="F43" s="362">
        <f t="shared" si="5"/>
        <v>16909793740</v>
      </c>
      <c r="G43" s="364">
        <f t="shared" si="0"/>
        <v>1</v>
      </c>
    </row>
    <row r="44" spans="1:9" s="630" customFormat="1">
      <c r="A44" s="634"/>
      <c r="B44" s="635"/>
      <c r="C44" s="636"/>
      <c r="D44" s="636">
        <v>17433191937.688663</v>
      </c>
      <c r="E44" s="636"/>
      <c r="F44" s="634">
        <f>'Economic Class'!L32</f>
        <v>16909793739.976414</v>
      </c>
      <c r="G44" s="637">
        <f>'[1]Resource envelope'!$D$19</f>
        <v>15609415275</v>
      </c>
    </row>
    <row r="45" spans="1:9" s="630" customFormat="1">
      <c r="B45" s="638"/>
      <c r="F45" s="639">
        <f>F43-F44</f>
        <v>2.3586273193359375E-2</v>
      </c>
      <c r="G45" s="639">
        <f>F43-G44</f>
        <v>1300378465</v>
      </c>
    </row>
    <row r="46" spans="1:9" s="630" customFormat="1">
      <c r="B46" s="638"/>
      <c r="F46" s="640"/>
    </row>
    <row r="47" spans="1:9" s="630" customFormat="1">
      <c r="B47" s="638"/>
      <c r="C47" s="631"/>
      <c r="F47" s="640">
        <f>[2]cpsb!$E$6</f>
        <v>0</v>
      </c>
    </row>
    <row r="48" spans="1:9" s="630" customFormat="1">
      <c r="B48" s="638"/>
      <c r="C48" s="632"/>
      <c r="F48" s="640">
        <f>F45-F47</f>
        <v>2.3586273193359375E-2</v>
      </c>
    </row>
    <row r="49" spans="2:6" s="630" customFormat="1">
      <c r="B49" s="638"/>
      <c r="C49" s="631"/>
    </row>
    <row r="50" spans="2:6" s="630" customFormat="1">
      <c r="B50" s="638"/>
      <c r="F50" s="640">
        <f>0.02*F43</f>
        <v>338195874.80000001</v>
      </c>
    </row>
    <row r="51" spans="2:6" s="630" customFormat="1">
      <c r="B51" s="638"/>
      <c r="F51" s="640">
        <f>F50-131000000</f>
        <v>207195874.80000001</v>
      </c>
    </row>
    <row r="53" spans="2:6">
      <c r="C53" s="374"/>
      <c r="F53" s="374"/>
    </row>
    <row r="54" spans="2:6">
      <c r="C54" s="374"/>
    </row>
  </sheetData>
  <mergeCells count="1">
    <mergeCell ref="B3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opLeftCell="A103" zoomScaleNormal="100" workbookViewId="0">
      <selection activeCell="B113" sqref="B113"/>
    </sheetView>
  </sheetViews>
  <sheetFormatPr defaultColWidth="8.7265625" defaultRowHeight="14"/>
  <cols>
    <col min="1" max="1" width="47.81640625" style="293" customWidth="1"/>
    <col min="2" max="2" width="20.08984375" style="293" customWidth="1"/>
    <col min="3" max="3" width="25.08984375" style="293" customWidth="1"/>
    <col min="4" max="4" width="17.81640625" style="293" customWidth="1"/>
    <col min="5" max="5" width="19.08984375" style="293" customWidth="1"/>
    <col min="6" max="16384" width="8.7265625" style="293"/>
  </cols>
  <sheetData>
    <row r="1" spans="1:4" ht="15.5">
      <c r="A1" s="292"/>
      <c r="B1" s="292"/>
      <c r="C1" s="292"/>
      <c r="D1" s="292"/>
    </row>
    <row r="2" spans="1:4" ht="15.5">
      <c r="A2" s="717"/>
      <c r="B2" s="717"/>
      <c r="C2" s="717"/>
      <c r="D2" s="717"/>
    </row>
    <row r="3" spans="1:4" ht="46.5">
      <c r="A3" s="294" t="s">
        <v>340</v>
      </c>
      <c r="B3" s="295" t="s">
        <v>341</v>
      </c>
      <c r="C3" s="295" t="s">
        <v>342</v>
      </c>
      <c r="D3" s="295" t="s">
        <v>343</v>
      </c>
    </row>
    <row r="4" spans="1:4" ht="31">
      <c r="A4" s="296" t="s">
        <v>324</v>
      </c>
      <c r="B4" s="297">
        <f>SUM(B5:B7)</f>
        <v>368000</v>
      </c>
      <c r="C4" s="297">
        <f t="shared" ref="C4:D4" si="0">SUM(C5:C7)</f>
        <v>386400</v>
      </c>
      <c r="D4" s="297">
        <f t="shared" si="0"/>
        <v>405720.00000000006</v>
      </c>
    </row>
    <row r="5" spans="1:4" ht="31">
      <c r="A5" s="298" t="s">
        <v>84</v>
      </c>
      <c r="B5" s="299">
        <f>332800-66560</f>
        <v>266240</v>
      </c>
      <c r="C5" s="299">
        <f>B5*1.05</f>
        <v>279552</v>
      </c>
      <c r="D5" s="299">
        <f>C5*1.05</f>
        <v>293529.60000000003</v>
      </c>
    </row>
    <row r="6" spans="1:4" ht="15.5">
      <c r="A6" s="298" t="s">
        <v>252</v>
      </c>
      <c r="B6" s="299">
        <f>120000-24000</f>
        <v>96000</v>
      </c>
      <c r="C6" s="299">
        <f t="shared" ref="C6:D7" si="1">B6*1.05</f>
        <v>100800</v>
      </c>
      <c r="D6" s="299">
        <f t="shared" si="1"/>
        <v>105840</v>
      </c>
    </row>
    <row r="7" spans="1:4" ht="15.5">
      <c r="A7" s="298" t="s">
        <v>35</v>
      </c>
      <c r="B7" s="299">
        <f>7200-1440</f>
        <v>5760</v>
      </c>
      <c r="C7" s="299">
        <f t="shared" si="1"/>
        <v>6048</v>
      </c>
      <c r="D7" s="299">
        <f t="shared" si="1"/>
        <v>6350.4000000000005</v>
      </c>
    </row>
    <row r="8" spans="1:4" ht="31">
      <c r="A8" s="300" t="s">
        <v>36</v>
      </c>
      <c r="B8" s="297">
        <f>SUM(B9:B12)</f>
        <v>1873663</v>
      </c>
      <c r="C8" s="297">
        <f t="shared" ref="C8:D8" si="2">SUM(C9:C12)</f>
        <v>1967346.15</v>
      </c>
      <c r="D8" s="297">
        <f t="shared" si="2"/>
        <v>2065713.4575</v>
      </c>
    </row>
    <row r="9" spans="1:4" ht="31">
      <c r="A9" s="298" t="s">
        <v>86</v>
      </c>
      <c r="B9" s="301">
        <v>973663</v>
      </c>
      <c r="C9" s="301">
        <f>B9*1.05</f>
        <v>1022346.15</v>
      </c>
      <c r="D9" s="301">
        <f>C9*1.05</f>
        <v>1073463.4575</v>
      </c>
    </row>
    <row r="10" spans="1:4" ht="15.5">
      <c r="A10" s="298" t="s">
        <v>87</v>
      </c>
      <c r="B10" s="301">
        <f>-200000+500000</f>
        <v>300000</v>
      </c>
      <c r="C10" s="301">
        <f>1.05*B10</f>
        <v>315000</v>
      </c>
      <c r="D10" s="299">
        <f>C10*0.05+C10</f>
        <v>330750</v>
      </c>
    </row>
    <row r="11" spans="1:4" ht="15.5">
      <c r="A11" s="298" t="s">
        <v>88</v>
      </c>
      <c r="B11" s="301">
        <f>-200000+500000</f>
        <v>300000</v>
      </c>
      <c r="C11" s="301">
        <f t="shared" ref="C11:D12" si="3">B11*0.05+B11</f>
        <v>315000</v>
      </c>
      <c r="D11" s="299">
        <f t="shared" si="3"/>
        <v>330750</v>
      </c>
    </row>
    <row r="12" spans="1:4" ht="15.5">
      <c r="A12" s="298" t="s">
        <v>39</v>
      </c>
      <c r="B12" s="301">
        <f>-200000+500000</f>
        <v>300000</v>
      </c>
      <c r="C12" s="301">
        <f t="shared" si="3"/>
        <v>315000</v>
      </c>
      <c r="D12" s="299">
        <f t="shared" si="3"/>
        <v>330750</v>
      </c>
    </row>
    <row r="13" spans="1:4" ht="31">
      <c r="A13" s="300" t="s">
        <v>91</v>
      </c>
      <c r="B13" s="297">
        <f>SUM(B14:B15)</f>
        <v>171141.6</v>
      </c>
      <c r="C13" s="297">
        <f t="shared" ref="C13:D13" si="4">SUM(C14:C15)</f>
        <v>179698.68</v>
      </c>
      <c r="D13" s="297">
        <f t="shared" si="4"/>
        <v>188683.614</v>
      </c>
    </row>
    <row r="14" spans="1:4" ht="31">
      <c r="A14" s="298" t="s">
        <v>165</v>
      </c>
      <c r="B14" s="299">
        <f>-5285.4+26427</f>
        <v>21141.599999999999</v>
      </c>
      <c r="C14" s="299">
        <f>1.05*B14</f>
        <v>22198.68</v>
      </c>
      <c r="D14" s="299">
        <f>C14*0.05+C14</f>
        <v>23308.614000000001</v>
      </c>
    </row>
    <row r="15" spans="1:4" ht="31">
      <c r="A15" s="298" t="s">
        <v>45</v>
      </c>
      <c r="B15" s="299">
        <v>150000</v>
      </c>
      <c r="C15" s="299">
        <f>1.05*B15</f>
        <v>157500</v>
      </c>
      <c r="D15" s="299">
        <f>C15*0.05+C15</f>
        <v>165375</v>
      </c>
    </row>
    <row r="16" spans="1:4" ht="15.5">
      <c r="A16" s="300" t="s">
        <v>47</v>
      </c>
      <c r="B16" s="297">
        <f>SUM(B17:B18)</f>
        <v>2154709</v>
      </c>
      <c r="C16" s="297">
        <f t="shared" ref="C16:D16" si="5">SUM(C17:C18)</f>
        <v>2262444.4500000002</v>
      </c>
      <c r="D16" s="297">
        <f t="shared" si="5"/>
        <v>2375566.6725000003</v>
      </c>
    </row>
    <row r="17" spans="1:5" ht="15.5">
      <c r="A17" s="298" t="s">
        <v>93</v>
      </c>
      <c r="B17" s="301">
        <v>1054709</v>
      </c>
      <c r="C17" s="301">
        <f>1.05*B17</f>
        <v>1107444.45</v>
      </c>
      <c r="D17" s="301">
        <f t="shared" ref="D17" si="6">1.05*C17</f>
        <v>1162816.6725000001</v>
      </c>
    </row>
    <row r="18" spans="1:5" ht="15.5">
      <c r="A18" s="298" t="s">
        <v>94</v>
      </c>
      <c r="B18" s="301">
        <v>1100000</v>
      </c>
      <c r="C18" s="301">
        <f>1.05*B18</f>
        <v>1155000</v>
      </c>
      <c r="D18" s="301">
        <f>1.05*C18</f>
        <v>1212750</v>
      </c>
    </row>
    <row r="19" spans="1:5" ht="15.5">
      <c r="A19" s="300" t="s">
        <v>49</v>
      </c>
      <c r="B19" s="297">
        <f>SUM(B20:B22)</f>
        <v>1250000</v>
      </c>
      <c r="C19" s="297">
        <f t="shared" ref="C19:D19" si="7">SUM(C20:C22)</f>
        <v>1312500</v>
      </c>
      <c r="D19" s="297">
        <f t="shared" si="7"/>
        <v>1378125</v>
      </c>
    </row>
    <row r="20" spans="1:5" ht="15.5">
      <c r="A20" s="298" t="s">
        <v>166</v>
      </c>
      <c r="B20" s="299">
        <v>400000</v>
      </c>
      <c r="C20" s="299">
        <f t="shared" ref="C20:D22" si="8">1.05*B20</f>
        <v>420000</v>
      </c>
      <c r="D20" s="299">
        <f t="shared" si="8"/>
        <v>441000</v>
      </c>
    </row>
    <row r="21" spans="1:5" ht="15.5">
      <c r="A21" s="298" t="s">
        <v>96</v>
      </c>
      <c r="B21" s="299">
        <f>7800000-2800000-2629424-2370576</f>
        <v>0</v>
      </c>
      <c r="C21" s="299">
        <f t="shared" si="8"/>
        <v>0</v>
      </c>
      <c r="D21" s="299">
        <f t="shared" si="8"/>
        <v>0</v>
      </c>
    </row>
    <row r="22" spans="1:5" ht="15.5">
      <c r="A22" s="298" t="s">
        <v>344</v>
      </c>
      <c r="B22" s="299">
        <v>850000</v>
      </c>
      <c r="C22" s="299">
        <f t="shared" si="8"/>
        <v>892500</v>
      </c>
      <c r="D22" s="299">
        <f t="shared" si="8"/>
        <v>937125</v>
      </c>
    </row>
    <row r="23" spans="1:5" ht="15.5">
      <c r="A23" s="302" t="s">
        <v>97</v>
      </c>
      <c r="B23" s="297">
        <f>SUM(B24)</f>
        <v>340000</v>
      </c>
      <c r="C23" s="297">
        <f t="shared" ref="C23:D23" si="9">SUM(C24)</f>
        <v>357000</v>
      </c>
      <c r="D23" s="297">
        <f t="shared" si="9"/>
        <v>374850</v>
      </c>
    </row>
    <row r="24" spans="1:5" ht="15.5">
      <c r="A24" s="298" t="s">
        <v>345</v>
      </c>
      <c r="B24" s="299">
        <v>340000</v>
      </c>
      <c r="C24" s="299">
        <f>1.05*B24</f>
        <v>357000</v>
      </c>
      <c r="D24" s="299">
        <f>1.05*C24</f>
        <v>374850</v>
      </c>
    </row>
    <row r="25" spans="1:5" ht="31">
      <c r="A25" s="300" t="s">
        <v>55</v>
      </c>
      <c r="B25" s="297">
        <f>SUM(B26:B27)</f>
        <v>907414</v>
      </c>
      <c r="C25" s="297">
        <f t="shared" ref="C25:D25" si="10">SUM(C26:C27)</f>
        <v>952784.7</v>
      </c>
      <c r="D25" s="297">
        <f t="shared" si="10"/>
        <v>1000423.9350000001</v>
      </c>
    </row>
    <row r="26" spans="1:5" ht="15.5">
      <c r="A26" s="298" t="s">
        <v>99</v>
      </c>
      <c r="B26" s="299">
        <v>850000</v>
      </c>
      <c r="C26" s="299">
        <f>1.05*B26</f>
        <v>892500</v>
      </c>
      <c r="D26" s="299">
        <f>1.05*C26</f>
        <v>937125</v>
      </c>
    </row>
    <row r="27" spans="1:5" ht="15.5">
      <c r="A27" s="298" t="s">
        <v>101</v>
      </c>
      <c r="B27" s="299">
        <v>57414</v>
      </c>
      <c r="C27" s="299">
        <f>1.05*B27</f>
        <v>60284.700000000004</v>
      </c>
      <c r="D27" s="299">
        <f>1.05*C27</f>
        <v>63298.935000000005</v>
      </c>
    </row>
    <row r="28" spans="1:5" ht="15.5">
      <c r="A28" s="300" t="s">
        <v>58</v>
      </c>
      <c r="B28" s="297">
        <f>SUM(B29)</f>
        <v>1000000</v>
      </c>
      <c r="C28" s="297">
        <f t="shared" ref="C28:D28" si="11">SUM(C29)</f>
        <v>1050000</v>
      </c>
      <c r="D28" s="297">
        <f t="shared" si="11"/>
        <v>1102500</v>
      </c>
    </row>
    <row r="29" spans="1:5" ht="31">
      <c r="A29" s="298" t="s">
        <v>102</v>
      </c>
      <c r="B29" s="299">
        <v>1000000</v>
      </c>
      <c r="C29" s="299">
        <f>1.05*B29</f>
        <v>1050000</v>
      </c>
      <c r="D29" s="299">
        <f>1.05*C29</f>
        <v>1102500</v>
      </c>
    </row>
    <row r="30" spans="1:5" ht="15.5">
      <c r="A30" s="300" t="s">
        <v>60</v>
      </c>
      <c r="B30" s="297">
        <f>SUM(B31:B33)</f>
        <v>340954846</v>
      </c>
      <c r="C30" s="297">
        <f t="shared" ref="C30:D30" si="12">SUM(C31:C33)</f>
        <v>358002588.30000001</v>
      </c>
      <c r="D30" s="297">
        <f t="shared" si="12"/>
        <v>375902717.71500003</v>
      </c>
    </row>
    <row r="31" spans="1:5" ht="31">
      <c r="A31" s="298" t="s">
        <v>103</v>
      </c>
      <c r="B31" s="299">
        <f>340899006</f>
        <v>340899006</v>
      </c>
      <c r="C31" s="299">
        <f t="shared" ref="C31:D33" si="13">1.05*B31</f>
        <v>357943956.30000001</v>
      </c>
      <c r="D31" s="299">
        <f t="shared" si="13"/>
        <v>375841154.11500001</v>
      </c>
      <c r="E31" s="293" t="s">
        <v>1172</v>
      </c>
    </row>
    <row r="32" spans="1:5" ht="15.5">
      <c r="A32" s="298" t="s">
        <v>104</v>
      </c>
      <c r="B32" s="299">
        <f>69800-13960</f>
        <v>55840</v>
      </c>
      <c r="C32" s="299">
        <f t="shared" si="13"/>
        <v>58632</v>
      </c>
      <c r="D32" s="299">
        <f t="shared" si="13"/>
        <v>61563.600000000006</v>
      </c>
    </row>
    <row r="33" spans="1:4" ht="15.5">
      <c r="A33" s="298" t="s">
        <v>346</v>
      </c>
      <c r="B33" s="299">
        <v>0</v>
      </c>
      <c r="C33" s="299">
        <f t="shared" si="13"/>
        <v>0</v>
      </c>
      <c r="D33" s="299">
        <f t="shared" si="13"/>
        <v>0</v>
      </c>
    </row>
    <row r="34" spans="1:4" ht="31">
      <c r="A34" s="300" t="s">
        <v>64</v>
      </c>
      <c r="B34" s="297">
        <f>SUM(B35)</f>
        <v>500000</v>
      </c>
      <c r="C34" s="297">
        <f t="shared" ref="C34:D34" si="14">SUM(C35)</f>
        <v>525000</v>
      </c>
      <c r="D34" s="297">
        <f t="shared" si="14"/>
        <v>551250</v>
      </c>
    </row>
    <row r="35" spans="1:4" ht="31">
      <c r="A35" s="298" t="s">
        <v>65</v>
      </c>
      <c r="B35" s="299">
        <v>500000</v>
      </c>
      <c r="C35" s="299">
        <f>1.05*B35</f>
        <v>525000</v>
      </c>
      <c r="D35" s="299">
        <f>1.05*C35</f>
        <v>551250</v>
      </c>
    </row>
    <row r="36" spans="1:4" ht="15.5">
      <c r="A36" s="302" t="s">
        <v>112</v>
      </c>
      <c r="B36" s="297">
        <f>SUM(B37:B40)</f>
        <v>920000</v>
      </c>
      <c r="C36" s="297">
        <f t="shared" ref="C36:D36" si="15">SUM(C37:C40)</f>
        <v>966000</v>
      </c>
      <c r="D36" s="297">
        <f t="shared" si="15"/>
        <v>1014300</v>
      </c>
    </row>
    <row r="37" spans="1:4" ht="31">
      <c r="A37" s="303" t="s">
        <v>347</v>
      </c>
      <c r="B37" s="304">
        <v>40000</v>
      </c>
      <c r="C37" s="304">
        <f t="shared" ref="C37:D40" si="16">1.05*B37</f>
        <v>42000</v>
      </c>
      <c r="D37" s="304">
        <f t="shared" si="16"/>
        <v>44100</v>
      </c>
    </row>
    <row r="38" spans="1:4" ht="31">
      <c r="A38" s="303" t="s">
        <v>348</v>
      </c>
      <c r="B38" s="304">
        <v>40000</v>
      </c>
      <c r="C38" s="304">
        <f t="shared" si="16"/>
        <v>42000</v>
      </c>
      <c r="D38" s="304">
        <f t="shared" si="16"/>
        <v>44100</v>
      </c>
    </row>
    <row r="39" spans="1:4" ht="31">
      <c r="A39" s="303" t="s">
        <v>349</v>
      </c>
      <c r="B39" s="304">
        <v>800000</v>
      </c>
      <c r="C39" s="304">
        <f t="shared" si="16"/>
        <v>840000</v>
      </c>
      <c r="D39" s="304">
        <f t="shared" si="16"/>
        <v>882000</v>
      </c>
    </row>
    <row r="40" spans="1:4" ht="31">
      <c r="A40" s="303" t="s">
        <v>350</v>
      </c>
      <c r="B40" s="304">
        <v>40000</v>
      </c>
      <c r="C40" s="304">
        <f>1.05*B40</f>
        <v>42000</v>
      </c>
      <c r="D40" s="304">
        <f t="shared" si="16"/>
        <v>44100</v>
      </c>
    </row>
    <row r="41" spans="1:4" ht="15.5">
      <c r="A41" s="305" t="s">
        <v>351</v>
      </c>
      <c r="B41" s="306">
        <v>14000000</v>
      </c>
      <c r="C41" s="306">
        <f>C42+C43</f>
        <v>14700000</v>
      </c>
      <c r="D41" s="306">
        <f>D42+D43</f>
        <v>15435000</v>
      </c>
    </row>
    <row r="42" spans="1:4" ht="31">
      <c r="A42" s="303" t="s">
        <v>352</v>
      </c>
      <c r="B42" s="304">
        <v>0</v>
      </c>
      <c r="C42" s="304">
        <f t="shared" ref="C42:D43" si="17">B42*0.05+B42</f>
        <v>0</v>
      </c>
      <c r="D42" s="299">
        <f t="shared" si="17"/>
        <v>0</v>
      </c>
    </row>
    <row r="43" spans="1:4" ht="31">
      <c r="A43" s="307" t="s">
        <v>353</v>
      </c>
      <c r="B43" s="308">
        <v>14000000</v>
      </c>
      <c r="C43" s="308">
        <f t="shared" si="17"/>
        <v>14700000</v>
      </c>
      <c r="D43" s="309">
        <f t="shared" si="17"/>
        <v>15435000</v>
      </c>
    </row>
    <row r="44" spans="1:4" ht="31">
      <c r="A44" s="300" t="s">
        <v>115</v>
      </c>
      <c r="B44" s="299">
        <f t="shared" ref="B44:D44" si="18">B45+B46+B47</f>
        <v>0</v>
      </c>
      <c r="C44" s="299">
        <f t="shared" si="18"/>
        <v>0</v>
      </c>
      <c r="D44" s="299">
        <f t="shared" si="18"/>
        <v>0</v>
      </c>
    </row>
    <row r="45" spans="1:4" ht="15.5">
      <c r="A45" s="310" t="s">
        <v>75</v>
      </c>
      <c r="B45" s="299">
        <v>0</v>
      </c>
      <c r="C45" s="299">
        <f>B45*0.05+B45</f>
        <v>0</v>
      </c>
      <c r="D45" s="299">
        <f>C45*0.05+C45</f>
        <v>0</v>
      </c>
    </row>
    <row r="46" spans="1:4" ht="31">
      <c r="A46" s="298" t="s">
        <v>69</v>
      </c>
      <c r="B46" s="299"/>
      <c r="C46" s="299">
        <f t="shared" ref="C46:D47" si="19">B46*0.05+B46</f>
        <v>0</v>
      </c>
      <c r="D46" s="299">
        <f t="shared" si="19"/>
        <v>0</v>
      </c>
    </row>
    <row r="47" spans="1:4" ht="15.5">
      <c r="A47" s="298" t="s">
        <v>354</v>
      </c>
      <c r="B47" s="299">
        <v>0</v>
      </c>
      <c r="C47" s="299">
        <f t="shared" si="19"/>
        <v>0</v>
      </c>
      <c r="D47" s="299">
        <f t="shared" si="19"/>
        <v>0</v>
      </c>
    </row>
    <row r="48" spans="1:4" ht="31">
      <c r="A48" s="300" t="s">
        <v>355</v>
      </c>
      <c r="B48" s="297">
        <f>B49</f>
        <v>0</v>
      </c>
      <c r="C48" s="297">
        <f>C49</f>
        <v>0</v>
      </c>
      <c r="D48" s="297">
        <f>D49</f>
        <v>0</v>
      </c>
    </row>
    <row r="49" spans="1:4" ht="31">
      <c r="A49" s="310" t="s">
        <v>355</v>
      </c>
      <c r="B49" s="299">
        <v>0</v>
      </c>
      <c r="C49" s="299">
        <f>B49*0.05+B49</f>
        <v>0</v>
      </c>
      <c r="D49" s="299">
        <f>B49*0.05+B49</f>
        <v>0</v>
      </c>
    </row>
    <row r="50" spans="1:4" ht="15.5">
      <c r="A50" s="302" t="s">
        <v>3</v>
      </c>
      <c r="B50" s="297">
        <f>B4+B8+B13+B16+B19+B23+B25+B28+B30+B34+B36+B41+B44+B48</f>
        <v>364439773.60000002</v>
      </c>
      <c r="C50" s="297">
        <f t="shared" ref="C50:D50" si="20">C4+C8+C13+C16+C19+C23+C25+C28+C30+C34+C36+C41+C44+C48</f>
        <v>382661762.28000003</v>
      </c>
      <c r="D50" s="297">
        <f t="shared" si="20"/>
        <v>401794850.39400005</v>
      </c>
    </row>
    <row r="51" spans="1:4" ht="15.5">
      <c r="A51" s="302" t="s">
        <v>173</v>
      </c>
      <c r="B51" s="297">
        <v>0</v>
      </c>
      <c r="C51" s="297"/>
      <c r="D51" s="299">
        <f>B51*0.05+B51</f>
        <v>0</v>
      </c>
    </row>
    <row r="52" spans="1:4" ht="15.5">
      <c r="A52" s="302" t="s">
        <v>74</v>
      </c>
      <c r="B52" s="297">
        <f t="shared" ref="B52:D52" si="21">B50-B51</f>
        <v>364439773.60000002</v>
      </c>
      <c r="C52" s="297">
        <f t="shared" si="21"/>
        <v>382661762.28000003</v>
      </c>
      <c r="D52" s="297">
        <f t="shared" si="21"/>
        <v>401794850.39400005</v>
      </c>
    </row>
    <row r="53" spans="1:4" ht="15.5">
      <c r="A53" s="311" t="s">
        <v>4</v>
      </c>
      <c r="B53" s="297"/>
      <c r="C53" s="297"/>
      <c r="D53" s="299"/>
    </row>
    <row r="54" spans="1:4" ht="15.5">
      <c r="A54" s="298" t="s">
        <v>108</v>
      </c>
      <c r="B54" s="299">
        <v>0</v>
      </c>
      <c r="C54" s="299">
        <f>B54*0.05+B54</f>
        <v>0</v>
      </c>
      <c r="D54" s="299">
        <f>B54*0.05+B54</f>
        <v>0</v>
      </c>
    </row>
    <row r="55" spans="1:4" ht="31">
      <c r="A55" s="312" t="s">
        <v>356</v>
      </c>
      <c r="B55" s="309">
        <v>91000000</v>
      </c>
      <c r="C55" s="309">
        <f>1.05*B55</f>
        <v>95550000</v>
      </c>
      <c r="D55" s="309">
        <f>1.05*C55</f>
        <v>100327500</v>
      </c>
    </row>
    <row r="56" spans="1:4" ht="31">
      <c r="A56" s="312" t="s">
        <v>357</v>
      </c>
      <c r="B56" s="309">
        <v>308326569</v>
      </c>
      <c r="C56" s="309">
        <f>1.05*B56</f>
        <v>323742897.44999999</v>
      </c>
      <c r="D56" s="309">
        <f>1.05*C56</f>
        <v>339930042.32249999</v>
      </c>
    </row>
    <row r="57" spans="1:4" ht="15.5">
      <c r="A57" s="298" t="s">
        <v>358</v>
      </c>
      <c r="B57" s="299">
        <v>0</v>
      </c>
      <c r="C57" s="299">
        <f t="shared" ref="C57:C59" si="22">B57*0.05+B57</f>
        <v>0</v>
      </c>
      <c r="D57" s="299">
        <f>B57*0.05+B57</f>
        <v>0</v>
      </c>
    </row>
    <row r="58" spans="1:4" ht="15.5">
      <c r="A58" s="298" t="s">
        <v>75</v>
      </c>
      <c r="B58" s="299">
        <v>0</v>
      </c>
      <c r="C58" s="299">
        <f t="shared" si="22"/>
        <v>0</v>
      </c>
      <c r="D58" s="299">
        <f>B58*0.05+B58</f>
        <v>0</v>
      </c>
    </row>
    <row r="59" spans="1:4" ht="15.5">
      <c r="A59" s="298" t="s">
        <v>359</v>
      </c>
      <c r="B59" s="299">
        <v>0</v>
      </c>
      <c r="C59" s="299">
        <f t="shared" si="22"/>
        <v>0</v>
      </c>
      <c r="D59" s="299">
        <f>B59*0.05+B59</f>
        <v>0</v>
      </c>
    </row>
    <row r="60" spans="1:4" ht="15.5">
      <c r="A60" s="305" t="s">
        <v>5</v>
      </c>
      <c r="B60" s="313">
        <f>B54+B55+B56+B57+B58+B59</f>
        <v>399326569</v>
      </c>
      <c r="C60" s="313">
        <f>C54+C55+C56+C57+C58+C59</f>
        <v>419292897.44999999</v>
      </c>
      <c r="D60" s="313">
        <f>D54+D55+D56+D57+D58+D59</f>
        <v>440257542.32249999</v>
      </c>
    </row>
    <row r="61" spans="1:4" ht="15.5">
      <c r="A61" s="314" t="s">
        <v>360</v>
      </c>
      <c r="B61" s="313">
        <f>B52+B60</f>
        <v>763766342.60000002</v>
      </c>
      <c r="C61" s="313">
        <f>C52+C60</f>
        <v>801954659.73000002</v>
      </c>
      <c r="D61" s="313">
        <f>D52+D60</f>
        <v>842052392.71650004</v>
      </c>
    </row>
    <row r="62" spans="1:4" ht="62">
      <c r="A62" s="315" t="s">
        <v>361</v>
      </c>
      <c r="B62" s="316" t="s">
        <v>362</v>
      </c>
      <c r="C62" s="316" t="s">
        <v>363</v>
      </c>
      <c r="D62" s="316" t="s">
        <v>364</v>
      </c>
    </row>
    <row r="63" spans="1:4" ht="15.5">
      <c r="A63" s="296" t="s">
        <v>29</v>
      </c>
      <c r="B63" s="297">
        <f>B64+B65</f>
        <v>15030000</v>
      </c>
      <c r="C63" s="297">
        <f t="shared" ref="C63:D63" si="23">C64+C65</f>
        <v>15781500</v>
      </c>
      <c r="D63" s="297">
        <f t="shared" si="23"/>
        <v>16570575</v>
      </c>
    </row>
    <row r="64" spans="1:4" ht="15.5">
      <c r="A64" s="298" t="s">
        <v>82</v>
      </c>
      <c r="B64" s="317">
        <v>30000</v>
      </c>
      <c r="C64" s="317">
        <f>1.05*B64</f>
        <v>31500</v>
      </c>
      <c r="D64" s="317">
        <f>1.05*C64</f>
        <v>33075</v>
      </c>
    </row>
    <row r="65" spans="1:4" ht="31">
      <c r="A65" s="298" t="s">
        <v>785</v>
      </c>
      <c r="B65" s="317">
        <v>15000000</v>
      </c>
      <c r="C65" s="317">
        <f>1.05*B65</f>
        <v>15750000</v>
      </c>
      <c r="D65" s="317">
        <f>1.05*C65</f>
        <v>16537500</v>
      </c>
    </row>
    <row r="66" spans="1:4" ht="31">
      <c r="A66" s="296" t="s">
        <v>32</v>
      </c>
      <c r="B66" s="297">
        <f>SUM(B67:B69)</f>
        <v>210000</v>
      </c>
      <c r="C66" s="297">
        <f t="shared" ref="C66:D66" si="24">SUM(C67:C69)</f>
        <v>220500</v>
      </c>
      <c r="D66" s="297">
        <f t="shared" si="24"/>
        <v>231525</v>
      </c>
    </row>
    <row r="67" spans="1:4" ht="31">
      <c r="A67" s="298" t="s">
        <v>84</v>
      </c>
      <c r="B67" s="317">
        <v>100000</v>
      </c>
      <c r="C67" s="317">
        <f t="shared" ref="C67:D69" si="25">1.05*B67</f>
        <v>105000</v>
      </c>
      <c r="D67" s="317">
        <f t="shared" si="25"/>
        <v>110250</v>
      </c>
    </row>
    <row r="68" spans="1:4" ht="15.5">
      <c r="A68" s="298" t="s">
        <v>85</v>
      </c>
      <c r="B68" s="317">
        <v>60000</v>
      </c>
      <c r="C68" s="317">
        <f t="shared" si="25"/>
        <v>63000</v>
      </c>
      <c r="D68" s="317">
        <f t="shared" si="25"/>
        <v>66150</v>
      </c>
    </row>
    <row r="69" spans="1:4" ht="15.5">
      <c r="A69" s="298" t="s">
        <v>35</v>
      </c>
      <c r="B69" s="317">
        <v>50000</v>
      </c>
      <c r="C69" s="317">
        <f t="shared" si="25"/>
        <v>52500</v>
      </c>
      <c r="D69" s="317">
        <f t="shared" si="25"/>
        <v>55125</v>
      </c>
    </row>
    <row r="70" spans="1:4" ht="31">
      <c r="A70" s="300" t="s">
        <v>36</v>
      </c>
      <c r="B70" s="297">
        <f>SUM(B71)</f>
        <v>300000</v>
      </c>
      <c r="C70" s="297">
        <f t="shared" ref="C70:D70" si="26">SUM(C71)</f>
        <v>315000</v>
      </c>
      <c r="D70" s="297">
        <f t="shared" si="26"/>
        <v>330750</v>
      </c>
    </row>
    <row r="71" spans="1:4" ht="31">
      <c r="A71" s="298" t="s">
        <v>86</v>
      </c>
      <c r="B71" s="317">
        <v>300000</v>
      </c>
      <c r="C71" s="317">
        <f>1.05*B71</f>
        <v>315000</v>
      </c>
      <c r="D71" s="317">
        <f>1.05*C71</f>
        <v>330750</v>
      </c>
    </row>
    <row r="72" spans="1:4" ht="31">
      <c r="A72" s="300" t="s">
        <v>91</v>
      </c>
      <c r="B72" s="297">
        <f>SUM(B73:B74)</f>
        <v>186211</v>
      </c>
      <c r="C72" s="297">
        <f t="shared" ref="C72:D72" si="27">SUM(C73:C74)</f>
        <v>195521.55</v>
      </c>
      <c r="D72" s="297">
        <f t="shared" si="27"/>
        <v>205297.6275</v>
      </c>
    </row>
    <row r="73" spans="1:4" ht="31">
      <c r="A73" s="298" t="s">
        <v>165</v>
      </c>
      <c r="B73" s="317">
        <v>36211</v>
      </c>
      <c r="C73" s="317">
        <f>1.05*B73</f>
        <v>38021.550000000003</v>
      </c>
      <c r="D73" s="317">
        <f>1.05*C73</f>
        <v>39922.627500000002</v>
      </c>
    </row>
    <row r="74" spans="1:4" ht="31">
      <c r="A74" s="298" t="s">
        <v>45</v>
      </c>
      <c r="B74" s="317">
        <v>150000</v>
      </c>
      <c r="C74" s="317">
        <f>1.05*B74</f>
        <v>157500</v>
      </c>
      <c r="D74" s="317">
        <f>1.05*C74</f>
        <v>165375</v>
      </c>
    </row>
    <row r="75" spans="1:4" ht="15.5">
      <c r="A75" s="300" t="s">
        <v>47</v>
      </c>
      <c r="B75" s="297">
        <f>SUM(B76:B78)</f>
        <v>1657223</v>
      </c>
      <c r="C75" s="297">
        <f t="shared" ref="C75:D75" si="28">SUM(C76:C78)</f>
        <v>1740084.15</v>
      </c>
      <c r="D75" s="297">
        <f t="shared" si="28"/>
        <v>1827088.3574999999</v>
      </c>
    </row>
    <row r="76" spans="1:4" ht="15.5">
      <c r="A76" s="318" t="s">
        <v>365</v>
      </c>
      <c r="B76" s="319"/>
      <c r="C76" s="319">
        <f>B76*0.05+B76</f>
        <v>0</v>
      </c>
      <c r="D76" s="301">
        <f>C76*0.05+C76</f>
        <v>0</v>
      </c>
    </row>
    <row r="77" spans="1:4" ht="15.5">
      <c r="A77" s="298" t="s">
        <v>93</v>
      </c>
      <c r="B77" s="319">
        <v>657223</v>
      </c>
      <c r="C77" s="319">
        <f>1.05*B77</f>
        <v>690084.15</v>
      </c>
      <c r="D77" s="319">
        <f>1.05*C77</f>
        <v>724588.35750000004</v>
      </c>
    </row>
    <row r="78" spans="1:4" ht="15.5">
      <c r="A78" s="298" t="s">
        <v>94</v>
      </c>
      <c r="B78" s="319">
        <v>1000000</v>
      </c>
      <c r="C78" s="319">
        <f>1.05*B78</f>
        <v>1050000</v>
      </c>
      <c r="D78" s="319">
        <f>1.05*C78</f>
        <v>1102500</v>
      </c>
    </row>
    <row r="79" spans="1:4" ht="15.5">
      <c r="A79" s="300" t="s">
        <v>49</v>
      </c>
      <c r="B79" s="297">
        <f>SUM(B80)</f>
        <v>750000</v>
      </c>
      <c r="C79" s="297">
        <f t="shared" ref="C79:D79" si="29">SUM(C80)</f>
        <v>787500</v>
      </c>
      <c r="D79" s="297">
        <f t="shared" si="29"/>
        <v>826875</v>
      </c>
    </row>
    <row r="80" spans="1:4" ht="15.5">
      <c r="A80" s="298" t="s">
        <v>166</v>
      </c>
      <c r="B80" s="317">
        <v>750000</v>
      </c>
      <c r="C80" s="317">
        <f>1.05*B80</f>
        <v>787500</v>
      </c>
      <c r="D80" s="317">
        <f>1.05*C80</f>
        <v>826875</v>
      </c>
    </row>
    <row r="81" spans="1:4" ht="15.5">
      <c r="A81" s="298" t="s">
        <v>366</v>
      </c>
      <c r="B81" s="317">
        <v>0</v>
      </c>
      <c r="C81" s="317">
        <f t="shared" ref="C81:D82" si="30">B81*0.05+B81</f>
        <v>0</v>
      </c>
      <c r="D81" s="299">
        <f t="shared" si="30"/>
        <v>0</v>
      </c>
    </row>
    <row r="82" spans="1:4" ht="15.5">
      <c r="A82" s="298" t="s">
        <v>96</v>
      </c>
      <c r="B82" s="317">
        <v>0</v>
      </c>
      <c r="C82" s="317">
        <f t="shared" si="30"/>
        <v>0</v>
      </c>
      <c r="D82" s="299">
        <f t="shared" si="30"/>
        <v>0</v>
      </c>
    </row>
    <row r="83" spans="1:4" ht="15.5">
      <c r="A83" s="302" t="s">
        <v>97</v>
      </c>
      <c r="B83" s="297">
        <f>SUM(B84)</f>
        <v>1400000</v>
      </c>
      <c r="C83" s="297">
        <f t="shared" ref="C83:D83" si="31">SUM(C84)</f>
        <v>1470000</v>
      </c>
      <c r="D83" s="297">
        <f t="shared" si="31"/>
        <v>1543500</v>
      </c>
    </row>
    <row r="84" spans="1:4" ht="31">
      <c r="A84" s="298" t="s">
        <v>98</v>
      </c>
      <c r="B84" s="317">
        <v>1400000</v>
      </c>
      <c r="C84" s="317">
        <f>1.05*B84</f>
        <v>1470000</v>
      </c>
      <c r="D84" s="317">
        <f>1.05*C84</f>
        <v>1543500</v>
      </c>
    </row>
    <row r="85" spans="1:4" ht="31">
      <c r="A85" s="300" t="s">
        <v>55</v>
      </c>
      <c r="B85" s="297">
        <f>SUM(B86:B87)</f>
        <v>872240</v>
      </c>
      <c r="C85" s="297">
        <f t="shared" ref="C85:D85" si="32">SUM(C86:C87)</f>
        <v>915852</v>
      </c>
      <c r="D85" s="297">
        <f t="shared" si="32"/>
        <v>961644.6</v>
      </c>
    </row>
    <row r="86" spans="1:4" ht="15.5">
      <c r="A86" s="298" t="s">
        <v>99</v>
      </c>
      <c r="B86" s="317">
        <v>830000</v>
      </c>
      <c r="C86" s="317">
        <f>1.05*B86</f>
        <v>871500</v>
      </c>
      <c r="D86" s="317">
        <f>1.05*C86</f>
        <v>915075</v>
      </c>
    </row>
    <row r="87" spans="1:4" ht="15.5">
      <c r="A87" s="298" t="s">
        <v>101</v>
      </c>
      <c r="B87" s="317">
        <v>42240</v>
      </c>
      <c r="C87" s="317">
        <f>1.05*B87</f>
        <v>44352</v>
      </c>
      <c r="D87" s="317">
        <f>1.05*C87</f>
        <v>46569.599999999999</v>
      </c>
    </row>
    <row r="88" spans="1:4" ht="15.5">
      <c r="A88" s="300" t="s">
        <v>58</v>
      </c>
      <c r="B88" s="297">
        <f>SUM(B89)</f>
        <v>2500000</v>
      </c>
      <c r="C88" s="297">
        <f t="shared" ref="C88:D88" si="33">SUM(C89)</f>
        <v>2625000</v>
      </c>
      <c r="D88" s="297">
        <f t="shared" si="33"/>
        <v>2756250</v>
      </c>
    </row>
    <row r="89" spans="1:4" ht="31">
      <c r="A89" s="320" t="s">
        <v>102</v>
      </c>
      <c r="B89" s="317">
        <v>2500000</v>
      </c>
      <c r="C89" s="317">
        <f>1.05*B89</f>
        <v>2625000</v>
      </c>
      <c r="D89" s="317">
        <f>1.05*C89</f>
        <v>2756250</v>
      </c>
    </row>
    <row r="90" spans="1:4" ht="15.5">
      <c r="A90" s="300" t="s">
        <v>60</v>
      </c>
      <c r="B90" s="297">
        <f>SUM(B91:B93)</f>
        <v>120000</v>
      </c>
      <c r="C90" s="297">
        <f t="shared" ref="C90:D90" si="34">SUM(C91:C93)</f>
        <v>126000</v>
      </c>
      <c r="D90" s="297">
        <f t="shared" si="34"/>
        <v>132300</v>
      </c>
    </row>
    <row r="91" spans="1:4" ht="31">
      <c r="A91" s="298" t="s">
        <v>103</v>
      </c>
      <c r="B91" s="299">
        <v>0</v>
      </c>
      <c r="C91" s="299">
        <f t="shared" ref="C91:D93" si="35">1.05*B91</f>
        <v>0</v>
      </c>
      <c r="D91" s="299">
        <f t="shared" si="35"/>
        <v>0</v>
      </c>
    </row>
    <row r="92" spans="1:4" ht="15.5">
      <c r="A92" s="298" t="s">
        <v>104</v>
      </c>
      <c r="B92" s="317">
        <v>120000</v>
      </c>
      <c r="C92" s="299">
        <f t="shared" si="35"/>
        <v>126000</v>
      </c>
      <c r="D92" s="299">
        <f t="shared" si="35"/>
        <v>132300</v>
      </c>
    </row>
    <row r="93" spans="1:4" ht="15.5">
      <c r="A93" s="298" t="s">
        <v>108</v>
      </c>
      <c r="B93" s="299">
        <v>0</v>
      </c>
      <c r="C93" s="299">
        <f t="shared" si="35"/>
        <v>0</v>
      </c>
      <c r="D93" s="299">
        <f t="shared" si="35"/>
        <v>0</v>
      </c>
    </row>
    <row r="94" spans="1:4" ht="31">
      <c r="A94" s="300" t="s">
        <v>64</v>
      </c>
      <c r="B94" s="297">
        <f>SUM(B95)</f>
        <v>1500000</v>
      </c>
      <c r="C94" s="297">
        <f t="shared" ref="C94:D94" si="36">SUM(C95)</f>
        <v>1575000</v>
      </c>
      <c r="D94" s="297">
        <f t="shared" si="36"/>
        <v>1653750</v>
      </c>
    </row>
    <row r="95" spans="1:4" ht="31">
      <c r="A95" s="298" t="s">
        <v>65</v>
      </c>
      <c r="B95" s="319">
        <v>1500000</v>
      </c>
      <c r="C95" s="319">
        <f>1.05*B95</f>
        <v>1575000</v>
      </c>
      <c r="D95" s="319">
        <f>1.05*C95</f>
        <v>1653750</v>
      </c>
    </row>
    <row r="96" spans="1:4" ht="15.5">
      <c r="A96" s="298" t="s">
        <v>112</v>
      </c>
      <c r="B96" s="297">
        <f>SUM(B97:B98)</f>
        <v>40000</v>
      </c>
      <c r="C96" s="297">
        <f t="shared" ref="C96:D96" si="37">SUM(C97:C98)</f>
        <v>42000</v>
      </c>
      <c r="D96" s="297">
        <f t="shared" si="37"/>
        <v>44100</v>
      </c>
    </row>
    <row r="97" spans="1:5" ht="31">
      <c r="A97" s="298" t="s">
        <v>347</v>
      </c>
      <c r="B97" s="317">
        <v>40000</v>
      </c>
      <c r="C97" s="297">
        <f>1.05*B97</f>
        <v>42000</v>
      </c>
      <c r="D97" s="297">
        <f>1.05*C97</f>
        <v>44100</v>
      </c>
    </row>
    <row r="98" spans="1:5" ht="15.5">
      <c r="A98" s="298" t="s">
        <v>367</v>
      </c>
      <c r="B98" s="317">
        <v>0</v>
      </c>
      <c r="C98" s="297">
        <f>1.05*B98</f>
        <v>0</v>
      </c>
      <c r="D98" s="297">
        <f>1.05*C98</f>
        <v>0</v>
      </c>
    </row>
    <row r="99" spans="1:5" ht="31">
      <c r="A99" s="302" t="s">
        <v>115</v>
      </c>
      <c r="B99" s="306">
        <f>SUM(B100:B101)</f>
        <v>750000</v>
      </c>
      <c r="C99" s="306">
        <f t="shared" ref="C99:D99" si="38">SUM(C100:C101)</f>
        <v>787500</v>
      </c>
      <c r="D99" s="306">
        <f t="shared" si="38"/>
        <v>826875</v>
      </c>
    </row>
    <row r="100" spans="1:5" ht="31">
      <c r="A100" s="310" t="s">
        <v>69</v>
      </c>
      <c r="B100" s="304">
        <f>-493555+-6445+500000</f>
        <v>0</v>
      </c>
      <c r="C100" s="304">
        <f t="shared" ref="C100:D100" si="39">B100*0.05+B100</f>
        <v>0</v>
      </c>
      <c r="D100" s="299">
        <f t="shared" si="39"/>
        <v>0</v>
      </c>
    </row>
    <row r="101" spans="1:5" ht="15.5">
      <c r="A101" s="298" t="s">
        <v>354</v>
      </c>
      <c r="B101" s="299">
        <v>750000</v>
      </c>
      <c r="C101" s="304">
        <f>1.05*B101</f>
        <v>787500</v>
      </c>
      <c r="D101" s="304">
        <f>1.05*C101</f>
        <v>826875</v>
      </c>
    </row>
    <row r="102" spans="1:5" ht="15.5">
      <c r="A102" s="298" t="s">
        <v>368</v>
      </c>
      <c r="B102" s="297">
        <f>SUM(B103)</f>
        <v>20000000</v>
      </c>
      <c r="C102" s="297">
        <f t="shared" ref="C102:D102" si="40">SUM(C103)</f>
        <v>21000000</v>
      </c>
      <c r="D102" s="297">
        <f t="shared" si="40"/>
        <v>22050000</v>
      </c>
    </row>
    <row r="103" spans="1:5" ht="31">
      <c r="A103" s="300" t="s">
        <v>369</v>
      </c>
      <c r="B103" s="317">
        <f>25000000-5000000</f>
        <v>20000000</v>
      </c>
      <c r="C103" s="317">
        <f>1.05*B103</f>
        <v>21000000</v>
      </c>
      <c r="D103" s="317">
        <f>1.05*C103</f>
        <v>22050000</v>
      </c>
    </row>
    <row r="104" spans="1:5" ht="15.5">
      <c r="A104" s="320" t="s">
        <v>370</v>
      </c>
      <c r="B104" s="317">
        <f>2400000-2400000</f>
        <v>0</v>
      </c>
      <c r="C104" s="317">
        <f t="shared" ref="C104:D105" si="41">B104*0.05+B104</f>
        <v>0</v>
      </c>
      <c r="D104" s="299">
        <f t="shared" si="41"/>
        <v>0</v>
      </c>
    </row>
    <row r="105" spans="1:5" ht="15.5">
      <c r="A105" s="300" t="s">
        <v>371</v>
      </c>
      <c r="B105" s="317">
        <v>0</v>
      </c>
      <c r="C105" s="317">
        <f t="shared" si="41"/>
        <v>0</v>
      </c>
      <c r="D105" s="299">
        <f t="shared" si="41"/>
        <v>0</v>
      </c>
    </row>
    <row r="106" spans="1:5" ht="15.5">
      <c r="A106" s="302" t="s">
        <v>3</v>
      </c>
      <c r="B106" s="297">
        <f>B63+B66+B70+B72+B75+B79+B83+B85+B88+B90+B94+B96+B99+B102</f>
        <v>45315674</v>
      </c>
      <c r="C106" s="297">
        <f t="shared" ref="C106:D106" si="42">C63+C66+C70+C72+C75+C79+C83+C85+C88+C90+C94+C96+C99+C102</f>
        <v>47581457.700000003</v>
      </c>
      <c r="D106" s="297">
        <f t="shared" si="42"/>
        <v>49960530.585000001</v>
      </c>
    </row>
    <row r="107" spans="1:5" ht="15.5">
      <c r="A107" s="302" t="s">
        <v>173</v>
      </c>
      <c r="B107" s="299">
        <v>0</v>
      </c>
      <c r="C107" s="299"/>
      <c r="D107" s="299">
        <f>-B107*0.05+B107</f>
        <v>0</v>
      </c>
    </row>
    <row r="108" spans="1:5" ht="15.5">
      <c r="A108" s="302" t="s">
        <v>74</v>
      </c>
      <c r="B108" s="297">
        <f t="shared" ref="B108:D108" si="43">B106-B107</f>
        <v>45315674</v>
      </c>
      <c r="C108" s="297">
        <f t="shared" si="43"/>
        <v>47581457.700000003</v>
      </c>
      <c r="D108" s="297">
        <f t="shared" si="43"/>
        <v>49960530.585000001</v>
      </c>
    </row>
    <row r="109" spans="1:5" ht="15.5">
      <c r="A109" s="300" t="s">
        <v>372</v>
      </c>
      <c r="B109" s="299"/>
      <c r="C109" s="299"/>
      <c r="D109" s="299"/>
    </row>
    <row r="110" spans="1:5" ht="15.5">
      <c r="A110" s="300" t="s">
        <v>359</v>
      </c>
      <c r="B110" s="299">
        <f>'Ward based rojects'!F7</f>
        <v>122507048.4658612</v>
      </c>
      <c r="C110" s="299">
        <f>1.05*B110</f>
        <v>128632400.88915427</v>
      </c>
      <c r="D110" s="299">
        <f>1.05*C110</f>
        <v>135064020.93361199</v>
      </c>
    </row>
    <row r="111" spans="1:5" ht="46.5">
      <c r="A111" s="298" t="s">
        <v>373</v>
      </c>
      <c r="B111" s="299">
        <f>20392019-10196010</f>
        <v>10196009</v>
      </c>
      <c r="C111" s="299">
        <f>B111*0.05+B111</f>
        <v>10705809.449999999</v>
      </c>
      <c r="D111" s="299">
        <f>C111*0.05+C111</f>
        <v>11241099.922499999</v>
      </c>
      <c r="E111" s="471">
        <v>10196009.5</v>
      </c>
    </row>
    <row r="112" spans="1:5" ht="15.5">
      <c r="A112" s="298" t="s">
        <v>1097</v>
      </c>
      <c r="B112" s="299">
        <v>500000000</v>
      </c>
      <c r="C112" s="299"/>
      <c r="D112" s="299"/>
      <c r="E112" s="471"/>
    </row>
    <row r="113" spans="1:5" ht="15.5">
      <c r="A113" s="298" t="s">
        <v>346</v>
      </c>
      <c r="B113" s="309">
        <f>43948598+26576782-30000000-4442233.46</f>
        <v>36083146.539999999</v>
      </c>
      <c r="C113" s="299">
        <f t="shared" ref="C113:D113" si="44">B113*0.05+B113</f>
        <v>37887303.866999999</v>
      </c>
      <c r="D113" s="299">
        <f t="shared" si="44"/>
        <v>39781669.060350001</v>
      </c>
      <c r="E113" s="293">
        <v>-4442233.4364128113</v>
      </c>
    </row>
    <row r="114" spans="1:5" ht="15.5">
      <c r="A114" s="305" t="s">
        <v>5</v>
      </c>
      <c r="B114" s="313">
        <f>SUM(B110:B113)</f>
        <v>668786204.00586116</v>
      </c>
      <c r="C114" s="313">
        <f t="shared" ref="C114:D114" si="45">SUM(C110:C113)</f>
        <v>177225514.20615429</v>
      </c>
      <c r="D114" s="313">
        <f t="shared" si="45"/>
        <v>186086789.916462</v>
      </c>
    </row>
    <row r="115" spans="1:5" ht="15.5">
      <c r="A115" s="305" t="s">
        <v>6</v>
      </c>
      <c r="B115" s="313">
        <f>SUM(B114+B108)</f>
        <v>714101878.00586116</v>
      </c>
      <c r="C115" s="313">
        <f>C106+C114</f>
        <v>224806971.90615427</v>
      </c>
      <c r="D115" s="313">
        <f>D106+D114</f>
        <v>236047320.50146201</v>
      </c>
    </row>
    <row r="116" spans="1:5" ht="15.5">
      <c r="A116" s="321" t="s">
        <v>360</v>
      </c>
      <c r="B116" s="322">
        <f>B115+B61</f>
        <v>1477868220.6058612</v>
      </c>
      <c r="C116" s="322">
        <f>C115+C61</f>
        <v>1026761631.6361543</v>
      </c>
      <c r="D116" s="322">
        <f>D115+D61</f>
        <v>1078099713.217962</v>
      </c>
    </row>
    <row r="117" spans="1:5" ht="15.5">
      <c r="A117" s="321" t="s">
        <v>374</v>
      </c>
      <c r="B117" s="322">
        <f>'[3]Local Rev.'!D27</f>
        <v>25610264.332768999</v>
      </c>
      <c r="C117" s="322">
        <f>B117*0.05+B117</f>
        <v>26890777.549407449</v>
      </c>
      <c r="D117" s="322">
        <f>C117*0.05+C117</f>
        <v>28235316.426877823</v>
      </c>
    </row>
    <row r="118" spans="1:5" ht="15.5">
      <c r="A118" s="321" t="s">
        <v>375</v>
      </c>
      <c r="B118" s="322">
        <f>B116-B117</f>
        <v>1452257956.2730923</v>
      </c>
      <c r="C118" s="322">
        <f>C116-C117</f>
        <v>999870854.08674681</v>
      </c>
      <c r="D118" s="322">
        <f>D116-D117</f>
        <v>1049864396.7910842</v>
      </c>
    </row>
  </sheetData>
  <protectedRanges>
    <protectedRange password="C43E" sqref="A4:A5" name="Range1_2_1_1_1_3_1_1_1_2_1_2_1"/>
    <protectedRange password="C43E" sqref="A7:A9" name="Range1_3_1_1_1_3_1_1_1_2_1_2_1"/>
    <protectedRange password="C43E" sqref="A10:A12" name="Range1_4_1_1_1_3_1_1_1_2_1_2_1"/>
    <protectedRange password="C43E" sqref="A13" name="Range1_5_1_1_1_3_1_1_1_2_1_2_1"/>
    <protectedRange password="C43E" sqref="A15" name="Range1_6_1_1_1_3_1_1_1_2_1_2_1"/>
    <protectedRange password="C43E" sqref="A17:A19" name="Range1_7_1_1_1_3_1_1_1_2_1_2_1"/>
    <protectedRange password="C43E" sqref="A20" name="Range1_8_1_1_1_3_1_1_1_2_1_2_1"/>
    <protectedRange password="C43E" sqref="A22" name="Range1_10_1_1_1_3_1_1_1_2_1_2_1"/>
    <protectedRange password="C43E" sqref="A23" name="Range1_11_1_1_1_3_1_1_1_2_1_2_1"/>
    <protectedRange password="C43E" sqref="A25" name="Range1_12_1_1_1_3_1_1_1_2_1_2_1"/>
    <protectedRange password="C43E" sqref="A27:A29 A48" name="Range1_13_1_1_1_3_1_1_1_2_1_2_1"/>
    <protectedRange password="C43E" sqref="A31:A35" name="Range1_15_1_1_1_3_1_1_1_2_1_2_1"/>
    <protectedRange password="C43E" sqref="A44:A46" name="Range1_16_1_2_1_3_1_1_1_2_1_2_1"/>
    <protectedRange password="C43E" sqref="A38:A39" name="Range1_20_1_1_1_3_1_1_1_2_1_2_1"/>
    <protectedRange password="C43E" sqref="A37" name="Range1_21_1_1_1_3_1_1_1_2_1_2_1"/>
    <protectedRange password="C43E" sqref="A47 A49" name="Range1_16_1_1_1_1_3_1_1_1_2_1_2_1"/>
    <protectedRange password="C43E" sqref="A50" name="Range1_18_1_1_1_3_1_1_1_2_1_2_1"/>
    <protectedRange password="C43E" sqref="A51" name="Range1_19_1_1_1_3_1_1_1_2_1_2_1"/>
    <protectedRange password="C43E" sqref="A52" name="Range1_24_1_1_1_3_1_1_1_2_1_2_1"/>
    <protectedRange password="C43E" sqref="A69" name="Range1_4_1_1_1_3_1_1_3_1_2_1"/>
  </protectedRanges>
  <mergeCells count="1">
    <mergeCell ref="A2:D2"/>
  </mergeCells>
  <pageMargins left="0.7" right="0.7" top="0.75" bottom="0.75" header="0.3" footer="0.3"/>
  <pageSetup paperSize="9" scale="78" orientation="portrait" horizontalDpi="4294967295" verticalDpi="4294967295" r:id="rId1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33" zoomScaleNormal="100" workbookViewId="0">
      <selection activeCell="B40" sqref="B40"/>
    </sheetView>
  </sheetViews>
  <sheetFormatPr defaultColWidth="8.7265625" defaultRowHeight="15.5"/>
  <cols>
    <col min="1" max="1" width="41.54296875" style="381" customWidth="1"/>
    <col min="2" max="2" width="25.90625" style="590" customWidth="1"/>
    <col min="3" max="3" width="16.08984375" style="590" customWidth="1"/>
    <col min="4" max="4" width="17.08984375" style="590" customWidth="1"/>
    <col min="5" max="5" width="16.6328125" style="381" customWidth="1"/>
    <col min="6" max="16384" width="8.7265625" style="381"/>
  </cols>
  <sheetData>
    <row r="1" spans="1:5" ht="19" customHeight="1">
      <c r="A1" s="721" t="s">
        <v>569</v>
      </c>
      <c r="B1" s="722"/>
      <c r="C1" s="722"/>
      <c r="D1" s="723"/>
    </row>
    <row r="2" spans="1:5" ht="19" customHeight="1">
      <c r="A2" s="724" t="s">
        <v>184</v>
      </c>
      <c r="B2" s="725" t="s">
        <v>185</v>
      </c>
      <c r="C2" s="725" t="s">
        <v>186</v>
      </c>
      <c r="D2" s="725"/>
    </row>
    <row r="3" spans="1:5" ht="19" customHeight="1">
      <c r="A3" s="724"/>
      <c r="B3" s="725"/>
      <c r="C3" s="579" t="s">
        <v>187</v>
      </c>
      <c r="D3" s="579" t="s">
        <v>188</v>
      </c>
    </row>
    <row r="4" spans="1:5" ht="19" customHeight="1">
      <c r="A4" s="377" t="s">
        <v>189</v>
      </c>
      <c r="B4" s="580">
        <f>SUM(B5:B5)</f>
        <v>250000</v>
      </c>
      <c r="C4" s="580">
        <f t="shared" ref="C4:D19" si="0">B4*1.05</f>
        <v>262500</v>
      </c>
      <c r="D4" s="580">
        <f t="shared" si="0"/>
        <v>275625</v>
      </c>
    </row>
    <row r="5" spans="1:5" ht="19" customHeight="1">
      <c r="A5" s="378" t="s">
        <v>190</v>
      </c>
      <c r="B5" s="581">
        <v>250000</v>
      </c>
      <c r="C5" s="581">
        <f t="shared" si="0"/>
        <v>262500</v>
      </c>
      <c r="D5" s="581">
        <f t="shared" si="0"/>
        <v>275625</v>
      </c>
    </row>
    <row r="6" spans="1:5" ht="19" customHeight="1">
      <c r="A6" s="377" t="s">
        <v>191</v>
      </c>
      <c r="B6" s="580">
        <f t="shared" ref="B6:D6" si="1">SUM(B7:B9)</f>
        <v>5000000</v>
      </c>
      <c r="C6" s="580">
        <f t="shared" si="1"/>
        <v>5250000</v>
      </c>
      <c r="D6" s="580">
        <f t="shared" si="1"/>
        <v>5512500</v>
      </c>
      <c r="E6" s="479">
        <v>2500000</v>
      </c>
    </row>
    <row r="7" spans="1:5" ht="19" customHeight="1">
      <c r="A7" s="378" t="s">
        <v>192</v>
      </c>
      <c r="B7" s="581">
        <v>1000000</v>
      </c>
      <c r="C7" s="581">
        <f t="shared" si="0"/>
        <v>1050000</v>
      </c>
      <c r="D7" s="581">
        <f t="shared" si="0"/>
        <v>1102500</v>
      </c>
      <c r="E7" s="479">
        <v>500000</v>
      </c>
    </row>
    <row r="8" spans="1:5" ht="19" customHeight="1">
      <c r="A8" s="378" t="s">
        <v>193</v>
      </c>
      <c r="B8" s="581">
        <v>2000000</v>
      </c>
      <c r="C8" s="581">
        <f t="shared" si="0"/>
        <v>2100000</v>
      </c>
      <c r="D8" s="581">
        <f t="shared" si="0"/>
        <v>2205000</v>
      </c>
      <c r="E8" s="479">
        <v>1000000</v>
      </c>
    </row>
    <row r="9" spans="1:5" ht="19" customHeight="1">
      <c r="A9" s="378" t="s">
        <v>194</v>
      </c>
      <c r="B9" s="581">
        <v>2000000</v>
      </c>
      <c r="C9" s="581">
        <f t="shared" si="0"/>
        <v>2100000</v>
      </c>
      <c r="D9" s="581">
        <f t="shared" si="0"/>
        <v>2205000</v>
      </c>
      <c r="E9" s="479">
        <v>1000000</v>
      </c>
    </row>
    <row r="10" spans="1:5" ht="19" customHeight="1">
      <c r="A10" s="377" t="s">
        <v>195</v>
      </c>
      <c r="B10" s="580">
        <f>B11</f>
        <v>50000</v>
      </c>
      <c r="C10" s="580">
        <f t="shared" si="0"/>
        <v>52500</v>
      </c>
      <c r="D10" s="580">
        <f t="shared" si="0"/>
        <v>55125</v>
      </c>
      <c r="E10" s="479">
        <v>25000</v>
      </c>
    </row>
    <row r="11" spans="1:5" ht="19" customHeight="1">
      <c r="A11" s="378" t="s">
        <v>196</v>
      </c>
      <c r="B11" s="581">
        <v>50000</v>
      </c>
      <c r="C11" s="581">
        <f t="shared" si="0"/>
        <v>52500</v>
      </c>
      <c r="D11" s="581">
        <f t="shared" si="0"/>
        <v>55125</v>
      </c>
      <c r="E11" s="479">
        <v>25000</v>
      </c>
    </row>
    <row r="12" spans="1:5" ht="19" customHeight="1">
      <c r="A12" s="377" t="s">
        <v>197</v>
      </c>
      <c r="B12" s="580">
        <f>B13+B14</f>
        <v>2000000</v>
      </c>
      <c r="C12" s="580">
        <f t="shared" si="0"/>
        <v>2100000</v>
      </c>
      <c r="D12" s="580">
        <f t="shared" si="0"/>
        <v>2205000</v>
      </c>
      <c r="E12" s="479">
        <v>1000000</v>
      </c>
    </row>
    <row r="13" spans="1:5" ht="19" customHeight="1">
      <c r="A13" s="378" t="s">
        <v>198</v>
      </c>
      <c r="B13" s="581">
        <v>1406492</v>
      </c>
      <c r="C13" s="581">
        <f t="shared" si="0"/>
        <v>1476816.6</v>
      </c>
      <c r="D13" s="581">
        <f t="shared" si="0"/>
        <v>1550657.4300000002</v>
      </c>
      <c r="E13" s="479">
        <v>703246</v>
      </c>
    </row>
    <row r="14" spans="1:5" ht="19" customHeight="1">
      <c r="A14" s="378" t="s">
        <v>199</v>
      </c>
      <c r="B14" s="581">
        <v>593508</v>
      </c>
      <c r="C14" s="581">
        <f t="shared" si="0"/>
        <v>623183.4</v>
      </c>
      <c r="D14" s="581">
        <f t="shared" si="0"/>
        <v>654342.57000000007</v>
      </c>
      <c r="E14" s="479">
        <v>296754</v>
      </c>
    </row>
    <row r="15" spans="1:5" ht="19" customHeight="1">
      <c r="A15" s="377" t="s">
        <v>200</v>
      </c>
      <c r="B15" s="580">
        <f>B16+B17</f>
        <v>1500000</v>
      </c>
      <c r="C15" s="580">
        <f t="shared" si="0"/>
        <v>1575000</v>
      </c>
      <c r="D15" s="580">
        <f t="shared" si="0"/>
        <v>1653750</v>
      </c>
      <c r="E15" s="479">
        <v>750000</v>
      </c>
    </row>
    <row r="16" spans="1:5" ht="19" customHeight="1">
      <c r="A16" s="378" t="s">
        <v>201</v>
      </c>
      <c r="B16" s="581">
        <v>1000000</v>
      </c>
      <c r="C16" s="581">
        <f t="shared" si="0"/>
        <v>1050000</v>
      </c>
      <c r="D16" s="581">
        <f t="shared" si="0"/>
        <v>1102500</v>
      </c>
      <c r="E16" s="479">
        <v>500000</v>
      </c>
    </row>
    <row r="17" spans="1:5" ht="19" customHeight="1">
      <c r="A17" s="378" t="s">
        <v>202</v>
      </c>
      <c r="B17" s="581">
        <v>500000</v>
      </c>
      <c r="C17" s="581">
        <f t="shared" si="0"/>
        <v>525000</v>
      </c>
      <c r="D17" s="581">
        <f t="shared" si="0"/>
        <v>551250</v>
      </c>
      <c r="E17" s="479">
        <v>250000</v>
      </c>
    </row>
    <row r="18" spans="1:5" ht="19" customHeight="1">
      <c r="A18" s="377" t="s">
        <v>203</v>
      </c>
      <c r="B18" s="580">
        <f>SUM(B19)</f>
        <v>600000</v>
      </c>
      <c r="C18" s="580">
        <f t="shared" si="0"/>
        <v>630000</v>
      </c>
      <c r="D18" s="580">
        <f t="shared" si="0"/>
        <v>661500</v>
      </c>
    </row>
    <row r="19" spans="1:5" ht="19" customHeight="1">
      <c r="A19" s="378" t="s">
        <v>204</v>
      </c>
      <c r="B19" s="581">
        <v>600000</v>
      </c>
      <c r="C19" s="581">
        <f t="shared" si="0"/>
        <v>630000</v>
      </c>
      <c r="D19" s="581">
        <f t="shared" si="0"/>
        <v>661500</v>
      </c>
      <c r="E19" s="480">
        <f>E6+E10+E12+E15</f>
        <v>4275000</v>
      </c>
    </row>
    <row r="20" spans="1:5" ht="19" customHeight="1">
      <c r="A20" s="377" t="s">
        <v>205</v>
      </c>
      <c r="B20" s="580">
        <f>SUM(B21:B22)</f>
        <v>1033803</v>
      </c>
      <c r="C20" s="580">
        <f t="shared" ref="C20:D33" si="2">B20*1.05</f>
        <v>1085493.1500000001</v>
      </c>
      <c r="D20" s="580">
        <f t="shared" si="2"/>
        <v>1139767.8075000001</v>
      </c>
    </row>
    <row r="21" spans="1:5" ht="19" customHeight="1">
      <c r="A21" s="378" t="s">
        <v>206</v>
      </c>
      <c r="B21" s="581">
        <v>1000000</v>
      </c>
      <c r="C21" s="581">
        <f t="shared" si="2"/>
        <v>1050000</v>
      </c>
      <c r="D21" s="581">
        <f t="shared" si="2"/>
        <v>1102500</v>
      </c>
    </row>
    <row r="22" spans="1:5" ht="19" customHeight="1">
      <c r="A22" s="378" t="s">
        <v>207</v>
      </c>
      <c r="B22" s="581">
        <f>50000-16197</f>
        <v>33803</v>
      </c>
      <c r="C22" s="581">
        <f t="shared" si="2"/>
        <v>35493.15</v>
      </c>
      <c r="D22" s="581">
        <f t="shared" si="2"/>
        <v>37267.807500000003</v>
      </c>
    </row>
    <row r="23" spans="1:5" ht="19" customHeight="1">
      <c r="A23" s="377" t="s">
        <v>208</v>
      </c>
      <c r="B23" s="580">
        <f>SUM(B24)</f>
        <v>3400000</v>
      </c>
      <c r="C23" s="580">
        <f t="shared" si="2"/>
        <v>3570000</v>
      </c>
      <c r="D23" s="580">
        <f t="shared" si="2"/>
        <v>3748500</v>
      </c>
    </row>
    <row r="24" spans="1:5" ht="19" customHeight="1">
      <c r="A24" s="378" t="s">
        <v>209</v>
      </c>
      <c r="B24" s="581">
        <v>3400000</v>
      </c>
      <c r="C24" s="581">
        <f t="shared" si="2"/>
        <v>3570000</v>
      </c>
      <c r="D24" s="581">
        <f t="shared" si="2"/>
        <v>3748500</v>
      </c>
    </row>
    <row r="25" spans="1:5" ht="19" customHeight="1">
      <c r="A25" s="377" t="s">
        <v>210</v>
      </c>
      <c r="B25" s="580">
        <f>SUM(B26)</f>
        <v>200000</v>
      </c>
      <c r="C25" s="580">
        <f t="shared" si="2"/>
        <v>210000</v>
      </c>
      <c r="D25" s="580">
        <f t="shared" si="2"/>
        <v>220500</v>
      </c>
    </row>
    <row r="26" spans="1:5" ht="19" customHeight="1">
      <c r="A26" s="378" t="s">
        <v>211</v>
      </c>
      <c r="B26" s="581">
        <v>200000</v>
      </c>
      <c r="C26" s="580">
        <f t="shared" si="2"/>
        <v>210000</v>
      </c>
      <c r="D26" s="580">
        <f t="shared" si="2"/>
        <v>220500</v>
      </c>
    </row>
    <row r="27" spans="1:5" ht="19" customHeight="1">
      <c r="A27" s="377" t="s">
        <v>212</v>
      </c>
      <c r="B27" s="580">
        <f>B28</f>
        <v>1000000</v>
      </c>
      <c r="C27" s="580">
        <f t="shared" si="2"/>
        <v>1050000</v>
      </c>
      <c r="D27" s="580">
        <f t="shared" si="2"/>
        <v>1102500</v>
      </c>
    </row>
    <row r="28" spans="1:5" ht="19" customHeight="1">
      <c r="A28" s="378" t="s">
        <v>213</v>
      </c>
      <c r="B28" s="581">
        <v>1000000</v>
      </c>
      <c r="C28" s="581">
        <f t="shared" si="2"/>
        <v>1050000</v>
      </c>
      <c r="D28" s="581">
        <f t="shared" si="2"/>
        <v>1102500</v>
      </c>
    </row>
    <row r="29" spans="1:5" ht="19" customHeight="1">
      <c r="A29" s="377" t="s">
        <v>214</v>
      </c>
      <c r="B29" s="580">
        <f>B30+B31</f>
        <v>5000000</v>
      </c>
      <c r="C29" s="580">
        <f>C30</f>
        <v>0</v>
      </c>
      <c r="D29" s="580">
        <f>D30</f>
        <v>0</v>
      </c>
    </row>
    <row r="30" spans="1:5" ht="19" customHeight="1">
      <c r="A30" s="378" t="s">
        <v>215</v>
      </c>
      <c r="B30" s="581">
        <v>0</v>
      </c>
      <c r="C30" s="581">
        <f>B30*1.05</f>
        <v>0</v>
      </c>
      <c r="D30" s="581">
        <f>C30*1.05</f>
        <v>0</v>
      </c>
    </row>
    <row r="31" spans="1:5" ht="19" customHeight="1">
      <c r="A31" s="378" t="s">
        <v>216</v>
      </c>
      <c r="B31" s="581">
        <v>5000000</v>
      </c>
      <c r="C31" s="581">
        <f t="shared" ref="C31:D31" si="3">B31*1.05</f>
        <v>5250000</v>
      </c>
      <c r="D31" s="581">
        <f t="shared" si="3"/>
        <v>5512500</v>
      </c>
    </row>
    <row r="32" spans="1:5" ht="19" customHeight="1">
      <c r="A32" s="377" t="s">
        <v>217</v>
      </c>
      <c r="B32" s="580">
        <f>SUM(B33:B33)</f>
        <v>20000000</v>
      </c>
      <c r="C32" s="580">
        <f t="shared" si="2"/>
        <v>21000000</v>
      </c>
      <c r="D32" s="580">
        <f t="shared" si="2"/>
        <v>22050000</v>
      </c>
    </row>
    <row r="33" spans="1:5" ht="19" customHeight="1">
      <c r="A33" s="378" t="s">
        <v>218</v>
      </c>
      <c r="B33" s="581">
        <v>20000000</v>
      </c>
      <c r="C33" s="581">
        <f t="shared" si="2"/>
        <v>21000000</v>
      </c>
      <c r="D33" s="581">
        <f t="shared" si="2"/>
        <v>22050000</v>
      </c>
    </row>
    <row r="34" spans="1:5" ht="19" customHeight="1">
      <c r="A34" s="377" t="s">
        <v>219</v>
      </c>
      <c r="B34" s="580">
        <f>B32+B29+B27+B25+B23+B20+B18+B15+B10+B6+B4+B12</f>
        <v>40033803</v>
      </c>
      <c r="C34" s="580">
        <f t="shared" ref="C34:D34" si="4">C32+C29+C27+C25+C23+C20+C18+C15+C10+C6+C4+C12</f>
        <v>36785493.149999999</v>
      </c>
      <c r="D34" s="580">
        <f t="shared" si="4"/>
        <v>38624767.807500005</v>
      </c>
    </row>
    <row r="35" spans="1:5" ht="19" customHeight="1">
      <c r="A35" s="726" t="s">
        <v>220</v>
      </c>
      <c r="B35" s="727"/>
      <c r="C35" s="727"/>
      <c r="D35" s="728"/>
    </row>
    <row r="36" spans="1:5" ht="19" customHeight="1">
      <c r="A36" s="719" t="s">
        <v>184</v>
      </c>
      <c r="B36" s="720" t="s">
        <v>221</v>
      </c>
      <c r="C36" s="720" t="s">
        <v>186</v>
      </c>
      <c r="D36" s="720"/>
    </row>
    <row r="37" spans="1:5" ht="19" customHeight="1">
      <c r="A37" s="719"/>
      <c r="B37" s="720"/>
      <c r="C37" s="582" t="s">
        <v>187</v>
      </c>
      <c r="D37" s="582" t="s">
        <v>188</v>
      </c>
    </row>
    <row r="38" spans="1:5" ht="19" customHeight="1">
      <c r="A38" s="377" t="s">
        <v>222</v>
      </c>
      <c r="B38" s="583">
        <v>24382131.59</v>
      </c>
      <c r="C38" s="581">
        <f>B38*1.05</f>
        <v>25601238.169500001</v>
      </c>
      <c r="D38" s="581">
        <f t="shared" ref="C38:D43" si="5">C38*1.05</f>
        <v>26881300.077975001</v>
      </c>
    </row>
    <row r="39" spans="1:5" ht="19" customHeight="1">
      <c r="A39" s="377" t="s">
        <v>223</v>
      </c>
      <c r="B39" s="580"/>
      <c r="C39" s="580">
        <f t="shared" si="5"/>
        <v>0</v>
      </c>
      <c r="D39" s="580">
        <f t="shared" si="5"/>
        <v>0</v>
      </c>
    </row>
    <row r="40" spans="1:5" ht="19" customHeight="1">
      <c r="A40" s="378" t="s">
        <v>224</v>
      </c>
      <c r="B40" s="584">
        <f>49002482-30000000-10000000-3500000-5502482</f>
        <v>0</v>
      </c>
      <c r="C40" s="581">
        <f t="shared" si="5"/>
        <v>0</v>
      </c>
      <c r="D40" s="581">
        <f t="shared" si="5"/>
        <v>0</v>
      </c>
      <c r="E40" s="472">
        <v>30000000</v>
      </c>
    </row>
    <row r="41" spans="1:5" ht="19" customHeight="1">
      <c r="A41" s="378" t="s">
        <v>225</v>
      </c>
      <c r="B41" s="581">
        <f>'Ward based rojects'!F6</f>
        <v>269284972.42224205</v>
      </c>
      <c r="C41" s="581">
        <f t="shared" si="5"/>
        <v>282749221.04335415</v>
      </c>
      <c r="D41" s="581">
        <f t="shared" si="5"/>
        <v>296886682.09552187</v>
      </c>
    </row>
    <row r="42" spans="1:5" ht="19" customHeight="1">
      <c r="A42" s="377" t="s">
        <v>226</v>
      </c>
      <c r="B42" s="580">
        <f>SUM(B38:B41)</f>
        <v>293667104.01224202</v>
      </c>
      <c r="C42" s="580">
        <f t="shared" ref="C42:D42" si="6">C38+C39</f>
        <v>25601238.169500001</v>
      </c>
      <c r="D42" s="580">
        <f t="shared" si="6"/>
        <v>26881300.077975001</v>
      </c>
      <c r="E42" s="381">
        <v>5502482</v>
      </c>
    </row>
    <row r="43" spans="1:5" ht="19" customHeight="1">
      <c r="A43" s="377" t="s">
        <v>227</v>
      </c>
      <c r="B43" s="585">
        <f>B34+B42</f>
        <v>333700907.01224202</v>
      </c>
      <c r="C43" s="580">
        <f>B42*1.05</f>
        <v>308350459.21285415</v>
      </c>
      <c r="D43" s="580">
        <f t="shared" si="5"/>
        <v>323767982.17349684</v>
      </c>
    </row>
    <row r="44" spans="1:5" ht="19" customHeight="1">
      <c r="A44" s="377"/>
      <c r="B44" s="586"/>
      <c r="C44" s="580"/>
      <c r="D44" s="580"/>
    </row>
    <row r="45" spans="1:5" ht="19" customHeight="1">
      <c r="A45" s="718" t="s">
        <v>228</v>
      </c>
      <c r="B45" s="718"/>
      <c r="C45" s="580"/>
      <c r="D45" s="580"/>
    </row>
    <row r="46" spans="1:5" ht="19" customHeight="1">
      <c r="A46" s="719" t="s">
        <v>184</v>
      </c>
      <c r="B46" s="720" t="s">
        <v>229</v>
      </c>
      <c r="C46" s="720" t="s">
        <v>186</v>
      </c>
      <c r="D46" s="720"/>
    </row>
    <row r="47" spans="1:5" ht="19" customHeight="1">
      <c r="A47" s="719"/>
      <c r="B47" s="720"/>
      <c r="C47" s="582" t="s">
        <v>230</v>
      </c>
      <c r="D47" s="582" t="s">
        <v>187</v>
      </c>
    </row>
    <row r="48" spans="1:5" ht="19" customHeight="1">
      <c r="A48" s="377" t="s">
        <v>191</v>
      </c>
      <c r="B48" s="580">
        <f>SUM(B49:B52)</f>
        <v>3112150</v>
      </c>
      <c r="C48" s="580">
        <f>B48*1.05</f>
        <v>3267757.5</v>
      </c>
      <c r="D48" s="580">
        <f>C48*1.05</f>
        <v>3431145.375</v>
      </c>
    </row>
    <row r="49" spans="1:4" ht="19" customHeight="1">
      <c r="A49" s="378" t="s">
        <v>192</v>
      </c>
      <c r="B49" s="581">
        <f>1000000</f>
        <v>1000000</v>
      </c>
      <c r="C49" s="580">
        <f t="shared" ref="C49:D63" si="7">B49*1.05</f>
        <v>1050000</v>
      </c>
      <c r="D49" s="580">
        <f t="shared" si="7"/>
        <v>1102500</v>
      </c>
    </row>
    <row r="50" spans="1:4" ht="19" customHeight="1">
      <c r="A50" s="378" t="s">
        <v>231</v>
      </c>
      <c r="B50" s="581">
        <f>1625000-500000-625000</f>
        <v>500000</v>
      </c>
      <c r="C50" s="580"/>
      <c r="D50" s="580"/>
    </row>
    <row r="51" spans="1:4" ht="19" customHeight="1">
      <c r="A51" s="378" t="s">
        <v>194</v>
      </c>
      <c r="B51" s="581">
        <f>1000000+612150</f>
        <v>1612150</v>
      </c>
      <c r="C51" s="580">
        <f t="shared" si="7"/>
        <v>1692757.5</v>
      </c>
      <c r="D51" s="580">
        <f t="shared" si="7"/>
        <v>1777395.375</v>
      </c>
    </row>
    <row r="52" spans="1:4" ht="19" customHeight="1">
      <c r="A52" s="378" t="s">
        <v>232</v>
      </c>
      <c r="B52" s="581">
        <f>2774192-492955-2281237</f>
        <v>0</v>
      </c>
      <c r="C52" s="580">
        <f t="shared" si="7"/>
        <v>0</v>
      </c>
      <c r="D52" s="580">
        <f t="shared" si="7"/>
        <v>0</v>
      </c>
    </row>
    <row r="53" spans="1:4" ht="19" customHeight="1">
      <c r="A53" s="377" t="s">
        <v>195</v>
      </c>
      <c r="B53" s="580">
        <f>SUM(B54:B55)</f>
        <v>300000</v>
      </c>
      <c r="C53" s="580">
        <f t="shared" si="7"/>
        <v>315000</v>
      </c>
      <c r="D53" s="580">
        <f t="shared" si="7"/>
        <v>330750</v>
      </c>
    </row>
    <row r="54" spans="1:4" ht="19" customHeight="1">
      <c r="A54" s="378" t="s">
        <v>233</v>
      </c>
      <c r="B54" s="581">
        <f>200000</f>
        <v>200000</v>
      </c>
      <c r="C54" s="580">
        <f t="shared" si="7"/>
        <v>210000</v>
      </c>
      <c r="D54" s="580">
        <f t="shared" si="7"/>
        <v>220500</v>
      </c>
    </row>
    <row r="55" spans="1:4" ht="19" customHeight="1">
      <c r="A55" s="378" t="s">
        <v>196</v>
      </c>
      <c r="B55" s="581">
        <f>100000</f>
        <v>100000</v>
      </c>
      <c r="C55" s="580">
        <f t="shared" si="7"/>
        <v>105000</v>
      </c>
      <c r="D55" s="580">
        <f t="shared" si="7"/>
        <v>110250</v>
      </c>
    </row>
    <row r="56" spans="1:4" ht="19" customHeight="1">
      <c r="A56" s="377" t="s">
        <v>234</v>
      </c>
      <c r="B56" s="586">
        <f>SUM(B57:B58)</f>
        <v>2000000</v>
      </c>
      <c r="C56" s="580">
        <f t="shared" si="7"/>
        <v>2100000</v>
      </c>
      <c r="D56" s="580">
        <f t="shared" si="7"/>
        <v>2205000</v>
      </c>
    </row>
    <row r="57" spans="1:4" ht="19" customHeight="1">
      <c r="A57" s="378" t="s">
        <v>198</v>
      </c>
      <c r="B57" s="587">
        <f>2240000-1000000</f>
        <v>1240000</v>
      </c>
      <c r="C57" s="580">
        <f t="shared" si="7"/>
        <v>1302000</v>
      </c>
      <c r="D57" s="580">
        <f t="shared" si="7"/>
        <v>1367100</v>
      </c>
    </row>
    <row r="58" spans="1:4" ht="19" customHeight="1">
      <c r="A58" s="378" t="s">
        <v>235</v>
      </c>
      <c r="B58" s="587">
        <f>760000</f>
        <v>760000</v>
      </c>
      <c r="C58" s="580">
        <f t="shared" si="7"/>
        <v>798000</v>
      </c>
      <c r="D58" s="580">
        <f t="shared" si="7"/>
        <v>837900</v>
      </c>
    </row>
    <row r="59" spans="1:4" ht="19" customHeight="1">
      <c r="A59" s="377" t="s">
        <v>200</v>
      </c>
      <c r="B59" s="580">
        <f>SUM(B60:B61)</f>
        <v>1000000</v>
      </c>
      <c r="C59" s="580">
        <f t="shared" si="7"/>
        <v>1050000</v>
      </c>
      <c r="D59" s="580">
        <f t="shared" si="7"/>
        <v>1102500</v>
      </c>
    </row>
    <row r="60" spans="1:4" ht="19" customHeight="1">
      <c r="A60" s="378" t="s">
        <v>201</v>
      </c>
      <c r="B60" s="581">
        <v>500000</v>
      </c>
      <c r="C60" s="580">
        <f t="shared" si="7"/>
        <v>525000</v>
      </c>
      <c r="D60" s="580">
        <f t="shared" si="7"/>
        <v>551250</v>
      </c>
    </row>
    <row r="61" spans="1:4" ht="19" customHeight="1">
      <c r="A61" s="378" t="s">
        <v>202</v>
      </c>
      <c r="B61" s="581">
        <v>500000</v>
      </c>
      <c r="C61" s="580">
        <f t="shared" si="7"/>
        <v>525000</v>
      </c>
      <c r="D61" s="580">
        <f t="shared" si="7"/>
        <v>551250</v>
      </c>
    </row>
    <row r="62" spans="1:4" ht="19" customHeight="1">
      <c r="A62" s="377" t="s">
        <v>208</v>
      </c>
      <c r="B62" s="580">
        <f>SUM(B63)</f>
        <v>500000</v>
      </c>
      <c r="C62" s="580">
        <f t="shared" si="7"/>
        <v>525000</v>
      </c>
      <c r="D62" s="580">
        <f t="shared" si="7"/>
        <v>551250</v>
      </c>
    </row>
    <row r="63" spans="1:4" ht="19" customHeight="1">
      <c r="A63" s="378" t="s">
        <v>209</v>
      </c>
      <c r="B63" s="581">
        <f>500000</f>
        <v>500000</v>
      </c>
      <c r="C63" s="580">
        <f t="shared" si="7"/>
        <v>525000</v>
      </c>
      <c r="D63" s="580">
        <f t="shared" si="7"/>
        <v>551250</v>
      </c>
    </row>
    <row r="64" spans="1:4" ht="19" customHeight="1">
      <c r="A64" s="377" t="s">
        <v>214</v>
      </c>
      <c r="B64" s="580">
        <f>B65</f>
        <v>20000000</v>
      </c>
      <c r="C64" s="580">
        <f>C65</f>
        <v>21000000</v>
      </c>
      <c r="D64" s="580">
        <f>D65</f>
        <v>22050000</v>
      </c>
    </row>
    <row r="65" spans="1:5" ht="19" customHeight="1">
      <c r="A65" s="378" t="s">
        <v>215</v>
      </c>
      <c r="B65" s="581">
        <v>20000000</v>
      </c>
      <c r="C65" s="581">
        <f>B65*1.05</f>
        <v>21000000</v>
      </c>
      <c r="D65" s="581">
        <f>C65*1.05</f>
        <v>22050000</v>
      </c>
    </row>
    <row r="66" spans="1:5" ht="19" customHeight="1">
      <c r="A66" s="377" t="s">
        <v>236</v>
      </c>
      <c r="B66" s="580">
        <f>B64+B62+B59+B56+B53+B48</f>
        <v>26912150</v>
      </c>
      <c r="C66" s="580">
        <f t="shared" ref="C66:D74" si="8">B66*1.05</f>
        <v>28257757.5</v>
      </c>
      <c r="D66" s="580">
        <f t="shared" si="8"/>
        <v>29670645.375</v>
      </c>
    </row>
    <row r="67" spans="1:5" ht="19" customHeight="1">
      <c r="A67" s="379" t="s">
        <v>153</v>
      </c>
      <c r="B67" s="580"/>
      <c r="C67" s="580">
        <f t="shared" si="8"/>
        <v>0</v>
      </c>
      <c r="D67" s="580">
        <f t="shared" si="8"/>
        <v>0</v>
      </c>
    </row>
    <row r="68" spans="1:5" ht="19" customHeight="1">
      <c r="A68" s="377" t="s">
        <v>223</v>
      </c>
      <c r="B68" s="580">
        <f>SUM(B69:B71)</f>
        <v>0</v>
      </c>
      <c r="C68" s="580">
        <f t="shared" si="8"/>
        <v>0</v>
      </c>
      <c r="D68" s="580">
        <f t="shared" si="8"/>
        <v>0</v>
      </c>
    </row>
    <row r="69" spans="1:5" ht="19" customHeight="1">
      <c r="A69" s="378" t="s">
        <v>224</v>
      </c>
      <c r="B69" s="581">
        <f>50000000+5000000-50000000+25000000-30000000</f>
        <v>0</v>
      </c>
      <c r="C69" s="580">
        <f t="shared" si="8"/>
        <v>0</v>
      </c>
      <c r="D69" s="580">
        <f t="shared" si="8"/>
        <v>0</v>
      </c>
    </row>
    <row r="70" spans="1:5" ht="19" customHeight="1">
      <c r="A70" s="378" t="s">
        <v>237</v>
      </c>
      <c r="B70" s="622">
        <f>-5000000+11287500-3000000-3287500</f>
        <v>0</v>
      </c>
      <c r="C70" s="581">
        <f t="shared" si="8"/>
        <v>0</v>
      </c>
      <c r="D70" s="581">
        <f t="shared" si="8"/>
        <v>0</v>
      </c>
      <c r="E70" s="381">
        <v>3287500</v>
      </c>
    </row>
    <row r="71" spans="1:5" ht="19" customHeight="1">
      <c r="A71" s="378" t="s">
        <v>238</v>
      </c>
      <c r="B71" s="583"/>
      <c r="C71" s="580">
        <f>B41*1.05</f>
        <v>282749221.04335415</v>
      </c>
      <c r="D71" s="580">
        <f t="shared" si="8"/>
        <v>296886682.09552187</v>
      </c>
    </row>
    <row r="72" spans="1:5" ht="19" customHeight="1">
      <c r="A72" s="377" t="s">
        <v>239</v>
      </c>
      <c r="B72" s="580">
        <f>B68</f>
        <v>0</v>
      </c>
      <c r="C72" s="580">
        <f t="shared" si="8"/>
        <v>0</v>
      </c>
      <c r="D72" s="580">
        <f t="shared" si="8"/>
        <v>0</v>
      </c>
    </row>
    <row r="73" spans="1:5" ht="19" customHeight="1">
      <c r="A73" s="379" t="s">
        <v>240</v>
      </c>
      <c r="B73" s="586">
        <f>B66+B72</f>
        <v>26912150</v>
      </c>
      <c r="C73" s="580">
        <f t="shared" si="8"/>
        <v>28257757.5</v>
      </c>
      <c r="D73" s="580">
        <f t="shared" si="8"/>
        <v>29670645.375</v>
      </c>
    </row>
    <row r="74" spans="1:5" ht="19" customHeight="1">
      <c r="A74" s="380" t="s">
        <v>241</v>
      </c>
      <c r="B74" s="588">
        <f>B34+B42+B66+B72</f>
        <v>360613057.01224202</v>
      </c>
      <c r="C74" s="589">
        <f t="shared" si="8"/>
        <v>378643709.86285412</v>
      </c>
      <c r="D74" s="589">
        <f t="shared" si="8"/>
        <v>397575895.35599685</v>
      </c>
    </row>
  </sheetData>
  <mergeCells count="12">
    <mergeCell ref="A45:B45"/>
    <mergeCell ref="A46:A47"/>
    <mergeCell ref="B46:B47"/>
    <mergeCell ref="C46:D46"/>
    <mergeCell ref="A1:D1"/>
    <mergeCell ref="A2:A3"/>
    <mergeCell ref="B2:B3"/>
    <mergeCell ref="C2:D2"/>
    <mergeCell ref="A35:D35"/>
    <mergeCell ref="A36:A37"/>
    <mergeCell ref="B36:B37"/>
    <mergeCell ref="C36:D36"/>
  </mergeCells>
  <pageMargins left="0.7" right="0.7" top="0.75" bottom="0.75" header="0.3" footer="0.3"/>
  <pageSetup paperSize="9" scale="86" orientation="portrait" horizontalDpi="4294967295" verticalDpi="4294967295" r:id="rId1"/>
  <colBreaks count="1" manualBreakCount="1">
    <brk id="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77"/>
  <sheetViews>
    <sheetView topLeftCell="A80" workbookViewId="0">
      <selection activeCell="G101" sqref="G101"/>
    </sheetView>
  </sheetViews>
  <sheetFormatPr defaultColWidth="8.7265625" defaultRowHeight="14"/>
  <cols>
    <col min="1" max="1" width="52.6328125" style="162" customWidth="1"/>
    <col min="2" max="2" width="26.1796875" style="162" customWidth="1"/>
    <col min="3" max="3" width="20.6328125" style="162" customWidth="1"/>
    <col min="4" max="4" width="17.90625" style="162" customWidth="1"/>
    <col min="5" max="5" width="14.6328125" style="162" customWidth="1"/>
    <col min="6" max="16384" width="8.7265625" style="162"/>
  </cols>
  <sheetData>
    <row r="1" spans="1:4" ht="15.5">
      <c r="A1" s="729"/>
      <c r="B1" s="729"/>
      <c r="C1" s="729"/>
      <c r="D1" s="729"/>
    </row>
    <row r="2" spans="1:4" ht="15.5">
      <c r="A2" s="729"/>
      <c r="B2" s="729"/>
      <c r="C2" s="729"/>
      <c r="D2" s="729"/>
    </row>
    <row r="3" spans="1:4" ht="15.5">
      <c r="A3" s="730"/>
      <c r="B3" s="730"/>
      <c r="C3" s="730"/>
      <c r="D3" s="730"/>
    </row>
    <row r="4" spans="1:4" ht="31">
      <c r="A4" s="163" t="s">
        <v>574</v>
      </c>
      <c r="B4" s="163" t="s">
        <v>424</v>
      </c>
      <c r="C4" s="164" t="s">
        <v>12</v>
      </c>
      <c r="D4" s="164" t="s">
        <v>426</v>
      </c>
    </row>
    <row r="5" spans="1:4" ht="15.5">
      <c r="A5" s="165" t="s">
        <v>666</v>
      </c>
      <c r="B5" s="165"/>
      <c r="C5" s="166">
        <f>B5*1.05</f>
        <v>0</v>
      </c>
      <c r="D5" s="166">
        <f>C5*1.05</f>
        <v>0</v>
      </c>
    </row>
    <row r="6" spans="1:4" ht="15.5">
      <c r="A6" s="167" t="s">
        <v>667</v>
      </c>
      <c r="B6" s="167">
        <v>0</v>
      </c>
      <c r="C6" s="166">
        <f>SUM(B6:B6)</f>
        <v>0</v>
      </c>
      <c r="D6" s="168">
        <f>1.05*C6</f>
        <v>0</v>
      </c>
    </row>
    <row r="7" spans="1:4" ht="15.5">
      <c r="A7" s="165" t="s">
        <v>668</v>
      </c>
      <c r="B7" s="165">
        <v>0</v>
      </c>
      <c r="C7" s="166">
        <f>C8</f>
        <v>0</v>
      </c>
      <c r="D7" s="166">
        <f>D8</f>
        <v>0</v>
      </c>
    </row>
    <row r="8" spans="1:4" ht="15.5">
      <c r="A8" s="167" t="s">
        <v>669</v>
      </c>
      <c r="B8" s="167">
        <v>0</v>
      </c>
      <c r="C8" s="166">
        <f>SUM(B8:B8)</f>
        <v>0</v>
      </c>
      <c r="D8" s="168">
        <f>1.05*C8</f>
        <v>0</v>
      </c>
    </row>
    <row r="9" spans="1:4" ht="15.5">
      <c r="A9" s="169" t="s">
        <v>670</v>
      </c>
      <c r="B9" s="169">
        <f>SUM(B10:B13)</f>
        <v>111122326</v>
      </c>
      <c r="C9" s="166">
        <f>B9*1.05</f>
        <v>116678442.30000001</v>
      </c>
      <c r="D9" s="166">
        <f>C9*1.05</f>
        <v>122512364.41500002</v>
      </c>
    </row>
    <row r="10" spans="1:4" ht="15.5">
      <c r="A10" s="170" t="s">
        <v>1174</v>
      </c>
      <c r="B10" s="170">
        <v>93419326</v>
      </c>
      <c r="C10" s="166">
        <f>SUM(B10:B10)</f>
        <v>93419326</v>
      </c>
      <c r="D10" s="168">
        <f>1.05*C10</f>
        <v>98090292.299999997</v>
      </c>
    </row>
    <row r="11" spans="1:4" ht="15.5">
      <c r="A11" s="170" t="s">
        <v>575</v>
      </c>
      <c r="B11" s="170">
        <v>0</v>
      </c>
      <c r="C11" s="166">
        <f>SUM(B11:B11)</f>
        <v>0</v>
      </c>
      <c r="D11" s="168">
        <f>1.05*C11</f>
        <v>0</v>
      </c>
    </row>
    <row r="12" spans="1:4" ht="15.5">
      <c r="A12" s="167" t="s">
        <v>576</v>
      </c>
      <c r="B12" s="167"/>
      <c r="C12" s="166">
        <f>SUM(B12:B12)</f>
        <v>0</v>
      </c>
      <c r="D12" s="168">
        <f>1.05*C12</f>
        <v>0</v>
      </c>
    </row>
    <row r="13" spans="1:4" ht="15.5">
      <c r="A13" s="171" t="s">
        <v>577</v>
      </c>
      <c r="B13" s="171">
        <v>17703000</v>
      </c>
      <c r="C13" s="168">
        <f>B13*1.05</f>
        <v>18588150</v>
      </c>
      <c r="D13" s="168">
        <f>C13*1.05</f>
        <v>19517557.5</v>
      </c>
    </row>
    <row r="14" spans="1:4" ht="15.5">
      <c r="A14" s="171" t="s">
        <v>578</v>
      </c>
      <c r="B14" s="171"/>
      <c r="C14" s="166">
        <f t="shared" ref="C14:D45" si="0">B14*1.05</f>
        <v>0</v>
      </c>
      <c r="D14" s="166">
        <f t="shared" si="0"/>
        <v>0</v>
      </c>
    </row>
    <row r="15" spans="1:4" ht="15.5">
      <c r="A15" s="171" t="s">
        <v>579</v>
      </c>
      <c r="B15" s="171">
        <v>0</v>
      </c>
      <c r="C15" s="166">
        <f t="shared" si="0"/>
        <v>0</v>
      </c>
      <c r="D15" s="166">
        <f t="shared" si="0"/>
        <v>0</v>
      </c>
    </row>
    <row r="16" spans="1:4" ht="15.5">
      <c r="A16" s="171" t="s">
        <v>580</v>
      </c>
      <c r="B16" s="171">
        <v>0</v>
      </c>
      <c r="C16" s="166">
        <f t="shared" si="0"/>
        <v>0</v>
      </c>
      <c r="D16" s="166">
        <f t="shared" si="0"/>
        <v>0</v>
      </c>
    </row>
    <row r="17" spans="1:5" ht="15.5">
      <c r="A17" s="172" t="s">
        <v>29</v>
      </c>
      <c r="B17" s="172">
        <f>B18+B19</f>
        <v>7500000</v>
      </c>
      <c r="C17" s="166">
        <f t="shared" si="0"/>
        <v>7875000</v>
      </c>
      <c r="D17" s="166">
        <f t="shared" si="0"/>
        <v>8268750</v>
      </c>
    </row>
    <row r="18" spans="1:5" ht="15.5">
      <c r="A18" s="170" t="s">
        <v>82</v>
      </c>
      <c r="B18" s="170">
        <v>4500000</v>
      </c>
      <c r="C18" s="168">
        <f t="shared" si="0"/>
        <v>4725000</v>
      </c>
      <c r="D18" s="168">
        <f t="shared" si="0"/>
        <v>4961250</v>
      </c>
    </row>
    <row r="19" spans="1:5" ht="15.5">
      <c r="A19" s="170" t="s">
        <v>83</v>
      </c>
      <c r="B19" s="170">
        <v>3000000</v>
      </c>
      <c r="C19" s="168">
        <f t="shared" si="0"/>
        <v>3150000</v>
      </c>
      <c r="D19" s="168">
        <f t="shared" si="0"/>
        <v>3307500</v>
      </c>
    </row>
    <row r="20" spans="1:5" ht="15.5">
      <c r="A20" s="172" t="s">
        <v>126</v>
      </c>
      <c r="B20" s="172">
        <f>B21+B22+B23</f>
        <v>3000000</v>
      </c>
      <c r="C20" s="166">
        <f t="shared" si="0"/>
        <v>3150000</v>
      </c>
      <c r="D20" s="166">
        <f t="shared" si="0"/>
        <v>3307500</v>
      </c>
    </row>
    <row r="21" spans="1:5" ht="15.5">
      <c r="A21" s="170" t="s">
        <v>84</v>
      </c>
      <c r="B21" s="170">
        <v>2000000</v>
      </c>
      <c r="C21" s="168">
        <f t="shared" si="0"/>
        <v>2100000</v>
      </c>
      <c r="D21" s="168">
        <f t="shared" si="0"/>
        <v>2205000</v>
      </c>
    </row>
    <row r="22" spans="1:5" ht="15.5">
      <c r="A22" s="170" t="s">
        <v>85</v>
      </c>
      <c r="B22" s="170">
        <v>600000</v>
      </c>
      <c r="C22" s="168">
        <f t="shared" si="0"/>
        <v>630000</v>
      </c>
      <c r="D22" s="168">
        <f t="shared" si="0"/>
        <v>661500</v>
      </c>
    </row>
    <row r="23" spans="1:5" ht="15.5">
      <c r="A23" s="170" t="s">
        <v>35</v>
      </c>
      <c r="B23" s="170">
        <v>400000</v>
      </c>
      <c r="C23" s="168">
        <f t="shared" si="0"/>
        <v>420000</v>
      </c>
      <c r="D23" s="168">
        <f t="shared" si="0"/>
        <v>441000</v>
      </c>
    </row>
    <row r="24" spans="1:5" ht="15.5">
      <c r="A24" s="172" t="s">
        <v>36</v>
      </c>
      <c r="B24" s="172">
        <f>B25+B26+B27+B28</f>
        <v>13250000</v>
      </c>
      <c r="C24" s="172">
        <f t="shared" ref="C24:E24" si="1">C25+C26+C27+C28</f>
        <v>13912500</v>
      </c>
      <c r="D24" s="172">
        <f t="shared" si="1"/>
        <v>14608125</v>
      </c>
      <c r="E24" s="172">
        <f t="shared" si="1"/>
        <v>6625000</v>
      </c>
    </row>
    <row r="25" spans="1:5" ht="15.5">
      <c r="A25" s="170" t="s">
        <v>86</v>
      </c>
      <c r="B25" s="170">
        <v>2000000</v>
      </c>
      <c r="C25" s="168">
        <f t="shared" si="0"/>
        <v>2100000</v>
      </c>
      <c r="D25" s="168">
        <f t="shared" si="0"/>
        <v>2205000</v>
      </c>
      <c r="E25" s="477">
        <f t="shared" ref="E25:E33" si="2">B25/2</f>
        <v>1000000</v>
      </c>
    </row>
    <row r="26" spans="1:5" ht="15.5">
      <c r="A26" s="170" t="s">
        <v>87</v>
      </c>
      <c r="B26" s="170">
        <v>4500000</v>
      </c>
      <c r="C26" s="168">
        <f t="shared" si="0"/>
        <v>4725000</v>
      </c>
      <c r="D26" s="168">
        <f t="shared" si="0"/>
        <v>4961250</v>
      </c>
      <c r="E26" s="477">
        <f t="shared" si="2"/>
        <v>2250000</v>
      </c>
    </row>
    <row r="27" spans="1:5" ht="15.5">
      <c r="A27" s="170" t="s">
        <v>88</v>
      </c>
      <c r="B27" s="170">
        <v>4500000</v>
      </c>
      <c r="C27" s="168">
        <f t="shared" si="0"/>
        <v>4725000</v>
      </c>
      <c r="D27" s="168">
        <f t="shared" si="0"/>
        <v>4961250</v>
      </c>
      <c r="E27" s="477">
        <f t="shared" si="2"/>
        <v>2250000</v>
      </c>
    </row>
    <row r="28" spans="1:5" ht="15.5">
      <c r="A28" s="170" t="s">
        <v>671</v>
      </c>
      <c r="B28" s="170">
        <v>2250000</v>
      </c>
      <c r="C28" s="168">
        <f t="shared" si="0"/>
        <v>2362500</v>
      </c>
      <c r="D28" s="168">
        <f t="shared" si="0"/>
        <v>2480625</v>
      </c>
      <c r="E28" s="477">
        <f t="shared" si="2"/>
        <v>1125000</v>
      </c>
    </row>
    <row r="29" spans="1:5" ht="15.5">
      <c r="A29" s="173" t="s">
        <v>672</v>
      </c>
      <c r="B29" s="173">
        <v>0</v>
      </c>
      <c r="C29" s="166">
        <f t="shared" si="0"/>
        <v>0</v>
      </c>
      <c r="D29" s="166">
        <f t="shared" si="0"/>
        <v>0</v>
      </c>
      <c r="E29" s="477">
        <f t="shared" si="2"/>
        <v>0</v>
      </c>
    </row>
    <row r="30" spans="1:5" ht="15.5">
      <c r="A30" s="173" t="s">
        <v>89</v>
      </c>
      <c r="B30" s="173">
        <v>0</v>
      </c>
      <c r="C30" s="166">
        <f t="shared" si="0"/>
        <v>0</v>
      </c>
      <c r="D30" s="166">
        <f t="shared" si="0"/>
        <v>0</v>
      </c>
      <c r="E30" s="477">
        <f t="shared" si="2"/>
        <v>0</v>
      </c>
    </row>
    <row r="31" spans="1:5" ht="15.5">
      <c r="A31" s="173" t="s">
        <v>90</v>
      </c>
      <c r="B31" s="173">
        <v>0</v>
      </c>
      <c r="C31" s="166">
        <f t="shared" si="0"/>
        <v>0</v>
      </c>
      <c r="D31" s="166">
        <f t="shared" si="0"/>
        <v>0</v>
      </c>
      <c r="E31" s="477">
        <f t="shared" si="2"/>
        <v>0</v>
      </c>
    </row>
    <row r="32" spans="1:5" ht="15.5">
      <c r="A32" s="173" t="s">
        <v>673</v>
      </c>
      <c r="B32" s="173">
        <v>0</v>
      </c>
      <c r="C32" s="166">
        <f t="shared" si="0"/>
        <v>0</v>
      </c>
      <c r="D32" s="166">
        <f t="shared" si="0"/>
        <v>0</v>
      </c>
      <c r="E32" s="477">
        <f t="shared" si="2"/>
        <v>0</v>
      </c>
    </row>
    <row r="33" spans="1:5" ht="15.5">
      <c r="A33" s="173" t="s">
        <v>41</v>
      </c>
      <c r="B33" s="173">
        <v>0</v>
      </c>
      <c r="C33" s="166">
        <f t="shared" si="0"/>
        <v>0</v>
      </c>
      <c r="D33" s="166">
        <f t="shared" si="0"/>
        <v>0</v>
      </c>
      <c r="E33" s="477">
        <f t="shared" si="2"/>
        <v>0</v>
      </c>
    </row>
    <row r="34" spans="1:5" ht="15.5">
      <c r="A34" s="172" t="s">
        <v>91</v>
      </c>
      <c r="B34" s="172">
        <f>B35+B36+B37+B38</f>
        <v>6570167</v>
      </c>
      <c r="C34" s="172">
        <f t="shared" ref="C34:D34" si="3">C35+C36+C37+C38</f>
        <v>6898675.3499999996</v>
      </c>
      <c r="D34" s="172">
        <f t="shared" si="3"/>
        <v>7243609.1174999997</v>
      </c>
      <c r="E34" s="172"/>
    </row>
    <row r="35" spans="1:5" ht="15.5">
      <c r="A35" s="170" t="s">
        <v>44</v>
      </c>
      <c r="B35" s="170">
        <v>3000000</v>
      </c>
      <c r="C35" s="168">
        <f t="shared" si="0"/>
        <v>3150000</v>
      </c>
      <c r="D35" s="168">
        <f t="shared" si="0"/>
        <v>3307500</v>
      </c>
      <c r="E35" s="477"/>
    </row>
    <row r="36" spans="1:5" ht="15.5">
      <c r="A36" s="170" t="s">
        <v>165</v>
      </c>
      <c r="B36" s="170">
        <v>500000</v>
      </c>
      <c r="C36" s="168">
        <f t="shared" si="0"/>
        <v>525000</v>
      </c>
      <c r="D36" s="168">
        <f t="shared" si="0"/>
        <v>551250</v>
      </c>
      <c r="E36" s="477"/>
    </row>
    <row r="37" spans="1:5" ht="15.5">
      <c r="A37" s="170" t="s">
        <v>45</v>
      </c>
      <c r="B37" s="170">
        <v>1570167</v>
      </c>
      <c r="C37" s="168">
        <f t="shared" si="0"/>
        <v>1648675.35</v>
      </c>
      <c r="D37" s="168">
        <f t="shared" si="0"/>
        <v>1731109.1175000002</v>
      </c>
      <c r="E37" s="477"/>
    </row>
    <row r="38" spans="1:5" ht="15.5">
      <c r="A38" s="170" t="s">
        <v>46</v>
      </c>
      <c r="B38" s="170">
        <v>1500000</v>
      </c>
      <c r="C38" s="168">
        <f t="shared" si="0"/>
        <v>1575000</v>
      </c>
      <c r="D38" s="168">
        <f t="shared" si="0"/>
        <v>1653750</v>
      </c>
      <c r="E38" s="477"/>
    </row>
    <row r="39" spans="1:5" ht="15.5">
      <c r="A39" s="172" t="s">
        <v>47</v>
      </c>
      <c r="B39" s="172">
        <f>B40+B41+B42</f>
        <v>8300000</v>
      </c>
      <c r="C39" s="172">
        <f t="shared" ref="C39:D39" si="4">C40+C41+C42</f>
        <v>8715000</v>
      </c>
      <c r="D39" s="172">
        <f t="shared" si="4"/>
        <v>9150750</v>
      </c>
      <c r="E39" s="172"/>
    </row>
    <row r="40" spans="1:5" ht="15.5">
      <c r="A40" s="170" t="s">
        <v>674</v>
      </c>
      <c r="B40" s="170">
        <v>2000000</v>
      </c>
      <c r="C40" s="168">
        <f t="shared" si="0"/>
        <v>2100000</v>
      </c>
      <c r="D40" s="168">
        <f t="shared" si="0"/>
        <v>2205000</v>
      </c>
      <c r="E40" s="477"/>
    </row>
    <row r="41" spans="1:5" ht="15.5">
      <c r="A41" s="170" t="s">
        <v>93</v>
      </c>
      <c r="B41" s="170">
        <v>5000000</v>
      </c>
      <c r="C41" s="168">
        <f t="shared" si="0"/>
        <v>5250000</v>
      </c>
      <c r="D41" s="168">
        <f t="shared" si="0"/>
        <v>5512500</v>
      </c>
      <c r="E41" s="477"/>
    </row>
    <row r="42" spans="1:5" ht="15.5">
      <c r="A42" s="170" t="s">
        <v>94</v>
      </c>
      <c r="B42" s="170">
        <v>1300000</v>
      </c>
      <c r="C42" s="168">
        <f t="shared" si="0"/>
        <v>1365000</v>
      </c>
      <c r="D42" s="168">
        <f t="shared" si="0"/>
        <v>1433250</v>
      </c>
      <c r="E42" s="477"/>
    </row>
    <row r="43" spans="1:5" ht="15.5">
      <c r="A43" s="172" t="s">
        <v>49</v>
      </c>
      <c r="B43" s="172">
        <f>B44+B45</f>
        <v>6750000</v>
      </c>
      <c r="C43" s="172">
        <f t="shared" ref="C43:D43" si="5">C44+C45</f>
        <v>7087500</v>
      </c>
      <c r="D43" s="172">
        <f t="shared" si="5"/>
        <v>7441875</v>
      </c>
      <c r="E43" s="477"/>
    </row>
    <row r="44" spans="1:5" ht="15.5">
      <c r="A44" s="170" t="s">
        <v>675</v>
      </c>
      <c r="B44" s="170">
        <v>3750000</v>
      </c>
      <c r="C44" s="168">
        <f t="shared" si="0"/>
        <v>3937500</v>
      </c>
      <c r="D44" s="168">
        <f t="shared" si="0"/>
        <v>4134375</v>
      </c>
      <c r="E44" s="477"/>
    </row>
    <row r="45" spans="1:5" ht="15.5">
      <c r="A45" s="170" t="s">
        <v>134</v>
      </c>
      <c r="B45" s="170">
        <v>3000000</v>
      </c>
      <c r="C45" s="168">
        <f t="shared" si="0"/>
        <v>3150000</v>
      </c>
      <c r="D45" s="168">
        <f t="shared" si="0"/>
        <v>3307500</v>
      </c>
      <c r="E45" s="477"/>
    </row>
    <row r="46" spans="1:5" ht="15.5">
      <c r="A46" s="172" t="s">
        <v>135</v>
      </c>
      <c r="B46" s="172">
        <f>B47</f>
        <v>3000000</v>
      </c>
      <c r="C46" s="166">
        <f t="shared" ref="C46:D77" si="6">B46*1.05</f>
        <v>3150000</v>
      </c>
      <c r="D46" s="166">
        <f t="shared" si="6"/>
        <v>3307500</v>
      </c>
    </row>
    <row r="47" spans="1:5" ht="15.5">
      <c r="A47" s="170" t="s">
        <v>54</v>
      </c>
      <c r="B47" s="170">
        <v>3000000</v>
      </c>
      <c r="C47" s="168">
        <f t="shared" si="6"/>
        <v>3150000</v>
      </c>
      <c r="D47" s="168">
        <f t="shared" si="6"/>
        <v>3307500</v>
      </c>
    </row>
    <row r="48" spans="1:5" ht="15.5">
      <c r="A48" s="173" t="s">
        <v>676</v>
      </c>
      <c r="B48" s="173">
        <v>0</v>
      </c>
      <c r="C48" s="166">
        <f t="shared" si="6"/>
        <v>0</v>
      </c>
      <c r="D48" s="166">
        <f t="shared" si="6"/>
        <v>0</v>
      </c>
      <c r="E48" s="478"/>
    </row>
    <row r="49" spans="1:4" ht="15.5">
      <c r="A49" s="172" t="s">
        <v>677</v>
      </c>
      <c r="B49" s="172">
        <f>SUM(B50:B57)</f>
        <v>81400000</v>
      </c>
      <c r="C49" s="166">
        <f t="shared" si="6"/>
        <v>85470000</v>
      </c>
      <c r="D49" s="166">
        <f t="shared" si="6"/>
        <v>89743500</v>
      </c>
    </row>
    <row r="50" spans="1:4" ht="15.5">
      <c r="A50" s="170" t="s">
        <v>678</v>
      </c>
      <c r="B50" s="170">
        <v>40000000</v>
      </c>
      <c r="C50" s="168">
        <f t="shared" si="6"/>
        <v>42000000</v>
      </c>
      <c r="D50" s="168">
        <f t="shared" si="6"/>
        <v>44100000</v>
      </c>
    </row>
    <row r="51" spans="1:4" ht="15.5">
      <c r="A51" s="170" t="s">
        <v>679</v>
      </c>
      <c r="B51" s="170">
        <v>25000000</v>
      </c>
      <c r="C51" s="168">
        <f t="shared" si="6"/>
        <v>26250000</v>
      </c>
      <c r="D51" s="168">
        <f t="shared" si="6"/>
        <v>27562500</v>
      </c>
    </row>
    <row r="52" spans="1:4" ht="15.5">
      <c r="A52" s="170" t="s">
        <v>137</v>
      </c>
      <c r="B52" s="170">
        <v>2600000</v>
      </c>
      <c r="C52" s="168">
        <f t="shared" si="6"/>
        <v>2730000</v>
      </c>
      <c r="D52" s="168">
        <f t="shared" si="6"/>
        <v>2866500</v>
      </c>
    </row>
    <row r="53" spans="1:4" ht="15.5">
      <c r="A53" s="170" t="s">
        <v>680</v>
      </c>
      <c r="B53" s="170">
        <v>2800000</v>
      </c>
      <c r="C53" s="168">
        <f t="shared" si="6"/>
        <v>2940000</v>
      </c>
      <c r="D53" s="168">
        <f t="shared" si="6"/>
        <v>3087000</v>
      </c>
    </row>
    <row r="54" spans="1:4" ht="15.5">
      <c r="A54" s="170" t="s">
        <v>681</v>
      </c>
      <c r="B54" s="170">
        <v>10000000</v>
      </c>
      <c r="C54" s="168">
        <f t="shared" si="6"/>
        <v>10500000</v>
      </c>
      <c r="D54" s="168">
        <f t="shared" si="6"/>
        <v>11025000</v>
      </c>
    </row>
    <row r="55" spans="1:4" ht="15.5">
      <c r="A55" s="170" t="s">
        <v>682</v>
      </c>
      <c r="B55" s="170">
        <v>0</v>
      </c>
      <c r="C55" s="168">
        <f t="shared" si="6"/>
        <v>0</v>
      </c>
      <c r="D55" s="168">
        <f t="shared" si="6"/>
        <v>0</v>
      </c>
    </row>
    <row r="56" spans="1:4" ht="15.5">
      <c r="A56" s="170" t="s">
        <v>683</v>
      </c>
      <c r="B56" s="170">
        <v>0</v>
      </c>
      <c r="C56" s="168">
        <f t="shared" si="6"/>
        <v>0</v>
      </c>
      <c r="D56" s="168">
        <f t="shared" si="6"/>
        <v>0</v>
      </c>
    </row>
    <row r="57" spans="1:4" ht="15.5">
      <c r="A57" s="170" t="s">
        <v>684</v>
      </c>
      <c r="B57" s="170">
        <v>1000000</v>
      </c>
      <c r="C57" s="168">
        <f t="shared" si="6"/>
        <v>1050000</v>
      </c>
      <c r="D57" s="168">
        <f t="shared" si="6"/>
        <v>1102500</v>
      </c>
    </row>
    <row r="58" spans="1:4" ht="15.5">
      <c r="A58" s="172" t="s">
        <v>55</v>
      </c>
      <c r="B58" s="172">
        <f>B59+B60+B61</f>
        <v>9500000</v>
      </c>
      <c r="C58" s="166">
        <f t="shared" si="6"/>
        <v>9975000</v>
      </c>
      <c r="D58" s="166">
        <f t="shared" si="6"/>
        <v>10473750</v>
      </c>
    </row>
    <row r="59" spans="1:4" ht="15.5">
      <c r="A59" s="170" t="s">
        <v>685</v>
      </c>
      <c r="B59" s="170">
        <v>2000000</v>
      </c>
      <c r="C59" s="168">
        <f t="shared" si="6"/>
        <v>2100000</v>
      </c>
      <c r="D59" s="168">
        <f t="shared" si="6"/>
        <v>2205000</v>
      </c>
    </row>
    <row r="60" spans="1:4" ht="15.5">
      <c r="A60" s="170" t="s">
        <v>167</v>
      </c>
      <c r="B60" s="170">
        <v>3000000</v>
      </c>
      <c r="C60" s="168">
        <f t="shared" si="6"/>
        <v>3150000</v>
      </c>
      <c r="D60" s="168">
        <f t="shared" si="6"/>
        <v>3307500</v>
      </c>
    </row>
    <row r="61" spans="1:4" ht="15.5">
      <c r="A61" s="170" t="s">
        <v>57</v>
      </c>
      <c r="B61" s="170">
        <v>4500000</v>
      </c>
      <c r="C61" s="168">
        <f t="shared" si="6"/>
        <v>4725000</v>
      </c>
      <c r="D61" s="168">
        <f t="shared" si="6"/>
        <v>4961250</v>
      </c>
    </row>
    <row r="62" spans="1:4" ht="15.5">
      <c r="A62" s="172" t="s">
        <v>58</v>
      </c>
      <c r="B62" s="172">
        <f>B63+B64</f>
        <v>9000000</v>
      </c>
      <c r="C62" s="166">
        <f t="shared" si="6"/>
        <v>9450000</v>
      </c>
      <c r="D62" s="166">
        <f t="shared" si="6"/>
        <v>9922500</v>
      </c>
    </row>
    <row r="63" spans="1:4" ht="15.5">
      <c r="A63" s="170" t="s">
        <v>102</v>
      </c>
      <c r="B63" s="170">
        <v>7000000</v>
      </c>
      <c r="C63" s="168">
        <f t="shared" si="6"/>
        <v>7350000</v>
      </c>
      <c r="D63" s="168">
        <f t="shared" si="6"/>
        <v>7717500</v>
      </c>
    </row>
    <row r="64" spans="1:4" ht="15.5">
      <c r="A64" s="170" t="s">
        <v>686</v>
      </c>
      <c r="B64" s="170">
        <v>2000000</v>
      </c>
      <c r="C64" s="168">
        <f t="shared" si="6"/>
        <v>2100000</v>
      </c>
      <c r="D64" s="168">
        <f t="shared" si="6"/>
        <v>2205000</v>
      </c>
    </row>
    <row r="65" spans="1:4" ht="15.5">
      <c r="A65" s="172" t="s">
        <v>60</v>
      </c>
      <c r="B65" s="172">
        <f>B66+B68</f>
        <v>4000000</v>
      </c>
      <c r="C65" s="166">
        <f t="shared" si="6"/>
        <v>4200000</v>
      </c>
      <c r="D65" s="166">
        <f t="shared" si="6"/>
        <v>4410000</v>
      </c>
    </row>
    <row r="66" spans="1:4" ht="15.5">
      <c r="A66" s="170" t="s">
        <v>687</v>
      </c>
      <c r="B66" s="170">
        <v>2000000</v>
      </c>
      <c r="C66" s="168">
        <f t="shared" si="6"/>
        <v>2100000</v>
      </c>
      <c r="D66" s="168">
        <f t="shared" si="6"/>
        <v>2205000</v>
      </c>
    </row>
    <row r="67" spans="1:4" ht="15.5">
      <c r="A67" s="170" t="s">
        <v>688</v>
      </c>
      <c r="B67" s="170">
        <v>0</v>
      </c>
      <c r="C67" s="168">
        <f t="shared" si="6"/>
        <v>0</v>
      </c>
      <c r="D67" s="168">
        <f t="shared" si="6"/>
        <v>0</v>
      </c>
    </row>
    <row r="68" spans="1:4" ht="15.5">
      <c r="A68" s="170" t="s">
        <v>61</v>
      </c>
      <c r="B68" s="170">
        <v>2000000</v>
      </c>
      <c r="C68" s="168">
        <f t="shared" si="6"/>
        <v>2100000</v>
      </c>
      <c r="D68" s="168">
        <f t="shared" si="6"/>
        <v>2205000</v>
      </c>
    </row>
    <row r="69" spans="1:4" ht="15.5">
      <c r="A69" s="173" t="s">
        <v>346</v>
      </c>
      <c r="B69" s="173">
        <v>0</v>
      </c>
      <c r="C69" s="166">
        <f t="shared" si="6"/>
        <v>0</v>
      </c>
      <c r="D69" s="166">
        <f t="shared" si="6"/>
        <v>0</v>
      </c>
    </row>
    <row r="70" spans="1:4" ht="15.5">
      <c r="A70" s="172" t="s">
        <v>64</v>
      </c>
      <c r="B70" s="172">
        <f>B71</f>
        <v>10000000</v>
      </c>
      <c r="C70" s="166">
        <f t="shared" si="6"/>
        <v>10500000</v>
      </c>
      <c r="D70" s="166">
        <f t="shared" si="6"/>
        <v>11025000</v>
      </c>
    </row>
    <row r="71" spans="1:4" ht="15.5">
      <c r="A71" s="170" t="s">
        <v>65</v>
      </c>
      <c r="B71" s="170">
        <v>10000000</v>
      </c>
      <c r="C71" s="168">
        <f t="shared" si="6"/>
        <v>10500000</v>
      </c>
      <c r="D71" s="168">
        <f t="shared" si="6"/>
        <v>11025000</v>
      </c>
    </row>
    <row r="72" spans="1:4" ht="15.5">
      <c r="A72" s="172" t="s">
        <v>112</v>
      </c>
      <c r="B72" s="172">
        <f>B73+B74+B75+B76</f>
        <v>12000000</v>
      </c>
      <c r="C72" s="166">
        <f t="shared" si="6"/>
        <v>12600000</v>
      </c>
      <c r="D72" s="166">
        <f t="shared" si="6"/>
        <v>13230000</v>
      </c>
    </row>
    <row r="73" spans="1:4">
      <c r="A73" s="170" t="s">
        <v>689</v>
      </c>
      <c r="B73" s="170">
        <v>0</v>
      </c>
      <c r="C73" s="174">
        <f t="shared" si="6"/>
        <v>0</v>
      </c>
      <c r="D73" s="174">
        <f t="shared" si="6"/>
        <v>0</v>
      </c>
    </row>
    <row r="74" spans="1:4">
      <c r="A74" s="170" t="s">
        <v>142</v>
      </c>
      <c r="B74" s="170">
        <v>7000000</v>
      </c>
      <c r="C74" s="174">
        <f t="shared" si="6"/>
        <v>7350000</v>
      </c>
      <c r="D74" s="174">
        <f t="shared" si="6"/>
        <v>7717500</v>
      </c>
    </row>
    <row r="75" spans="1:4">
      <c r="A75" s="170" t="s">
        <v>67</v>
      </c>
      <c r="B75" s="170">
        <v>2500000</v>
      </c>
      <c r="C75" s="174">
        <f t="shared" si="6"/>
        <v>2625000</v>
      </c>
      <c r="D75" s="174">
        <f t="shared" si="6"/>
        <v>2756250</v>
      </c>
    </row>
    <row r="76" spans="1:4">
      <c r="A76" s="170" t="s">
        <v>67</v>
      </c>
      <c r="B76" s="170">
        <v>2500000</v>
      </c>
      <c r="C76" s="174">
        <f t="shared" si="6"/>
        <v>2625000</v>
      </c>
      <c r="D76" s="174">
        <f t="shared" si="6"/>
        <v>2756250</v>
      </c>
    </row>
    <row r="77" spans="1:4" ht="15.5">
      <c r="A77" s="173" t="s">
        <v>690</v>
      </c>
      <c r="B77" s="173">
        <v>0</v>
      </c>
      <c r="C77" s="166">
        <f t="shared" si="6"/>
        <v>0</v>
      </c>
      <c r="D77" s="166">
        <f t="shared" si="6"/>
        <v>0</v>
      </c>
    </row>
    <row r="78" spans="1:4" ht="15.5">
      <c r="A78" s="173" t="s">
        <v>691</v>
      </c>
      <c r="B78" s="173">
        <v>0</v>
      </c>
      <c r="C78" s="166">
        <f t="shared" ref="C78:D86" si="7">B78*1.05</f>
        <v>0</v>
      </c>
      <c r="D78" s="166">
        <f t="shared" si="7"/>
        <v>0</v>
      </c>
    </row>
    <row r="79" spans="1:4" ht="15.5">
      <c r="A79" s="173" t="s">
        <v>692</v>
      </c>
      <c r="B79" s="173">
        <v>0</v>
      </c>
      <c r="C79" s="166">
        <f t="shared" si="7"/>
        <v>0</v>
      </c>
      <c r="D79" s="166">
        <f t="shared" si="7"/>
        <v>0</v>
      </c>
    </row>
    <row r="80" spans="1:4" ht="15.5">
      <c r="A80" s="172" t="s">
        <v>270</v>
      </c>
      <c r="B80" s="172">
        <f>B81+B82</f>
        <v>7000000</v>
      </c>
      <c r="C80" s="166">
        <f t="shared" si="7"/>
        <v>7350000</v>
      </c>
      <c r="D80" s="166">
        <f t="shared" si="7"/>
        <v>7717500</v>
      </c>
    </row>
    <row r="81" spans="1:5">
      <c r="A81" s="170" t="s">
        <v>281</v>
      </c>
      <c r="B81" s="170">
        <v>4000000</v>
      </c>
      <c r="C81" s="174">
        <f t="shared" si="7"/>
        <v>4200000</v>
      </c>
      <c r="D81" s="174">
        <f t="shared" si="7"/>
        <v>4410000</v>
      </c>
    </row>
    <row r="82" spans="1:5">
      <c r="A82" s="170" t="s">
        <v>272</v>
      </c>
      <c r="B82" s="170">
        <v>3000000</v>
      </c>
      <c r="C82" s="174">
        <f t="shared" si="7"/>
        <v>3150000</v>
      </c>
      <c r="D82" s="174">
        <f t="shared" si="7"/>
        <v>3307500</v>
      </c>
    </row>
    <row r="83" spans="1:5" ht="15.5">
      <c r="A83" s="173" t="s">
        <v>582</v>
      </c>
      <c r="B83" s="173"/>
      <c r="C83" s="166">
        <f t="shared" si="7"/>
        <v>0</v>
      </c>
      <c r="D83" s="166">
        <f t="shared" si="7"/>
        <v>0</v>
      </c>
    </row>
    <row r="84" spans="1:5" ht="15.5">
      <c r="A84" s="172" t="s">
        <v>583</v>
      </c>
      <c r="B84" s="172">
        <f>B80+B72+B70+B65+B62++B58+B49+B46+B43+B39+B34+B24+B20+B17+B9</f>
        <v>292392493</v>
      </c>
      <c r="C84" s="166">
        <f t="shared" si="7"/>
        <v>307012117.65000004</v>
      </c>
      <c r="D84" s="166">
        <f t="shared" si="7"/>
        <v>322362723.53250003</v>
      </c>
    </row>
    <row r="85" spans="1:5" ht="15.5">
      <c r="A85" s="173" t="s">
        <v>73</v>
      </c>
      <c r="B85" s="173">
        <v>0</v>
      </c>
      <c r="C85" s="166">
        <f t="shared" si="7"/>
        <v>0</v>
      </c>
      <c r="D85" s="166">
        <f t="shared" si="7"/>
        <v>0</v>
      </c>
    </row>
    <row r="86" spans="1:5" ht="15.5">
      <c r="A86" s="172" t="s">
        <v>584</v>
      </c>
      <c r="B86" s="172">
        <f>B84-B85</f>
        <v>292392493</v>
      </c>
      <c r="C86" s="166">
        <f t="shared" si="7"/>
        <v>307012117.65000004</v>
      </c>
      <c r="D86" s="166">
        <f t="shared" si="7"/>
        <v>322362723.53250003</v>
      </c>
    </row>
    <row r="87" spans="1:5" ht="31">
      <c r="A87" s="175" t="s">
        <v>585</v>
      </c>
      <c r="B87" s="175" t="s">
        <v>424</v>
      </c>
      <c r="C87" s="176" t="s">
        <v>12</v>
      </c>
      <c r="D87" s="176" t="s">
        <v>426</v>
      </c>
    </row>
    <row r="88" spans="1:5" ht="15.5">
      <c r="A88" s="171" t="s">
        <v>663</v>
      </c>
      <c r="B88" s="171">
        <f>'Ward based rojects'!F8</f>
        <v>61402709.764432259</v>
      </c>
      <c r="C88" s="168">
        <f t="shared" ref="C88:C94" si="8">SUM(B88:B88)</f>
        <v>61402709.764432259</v>
      </c>
      <c r="D88" s="168">
        <f t="shared" ref="D88:D94" si="9">1.05*C88</f>
        <v>64472845.252653874</v>
      </c>
    </row>
    <row r="89" spans="1:5" ht="15.5">
      <c r="A89" s="171" t="s">
        <v>693</v>
      </c>
      <c r="B89" s="171">
        <v>0</v>
      </c>
      <c r="C89" s="168">
        <f t="shared" si="8"/>
        <v>0</v>
      </c>
      <c r="D89" s="168">
        <f t="shared" si="9"/>
        <v>0</v>
      </c>
    </row>
    <row r="90" spans="1:5" ht="31">
      <c r="A90" s="171" t="s">
        <v>694</v>
      </c>
      <c r="B90" s="171"/>
      <c r="C90" s="168">
        <f t="shared" si="8"/>
        <v>0</v>
      </c>
      <c r="D90" s="168">
        <f t="shared" si="9"/>
        <v>0</v>
      </c>
    </row>
    <row r="91" spans="1:5" ht="15.5">
      <c r="A91" s="177" t="s">
        <v>1098</v>
      </c>
      <c r="B91" s="481">
        <f>-20000000+50000000</f>
        <v>30000000</v>
      </c>
      <c r="C91" s="168">
        <f t="shared" si="8"/>
        <v>30000000</v>
      </c>
      <c r="D91" s="168">
        <f t="shared" si="9"/>
        <v>31500000</v>
      </c>
    </row>
    <row r="92" spans="1:5" ht="15.5">
      <c r="A92" s="177" t="s">
        <v>168</v>
      </c>
      <c r="B92" s="177">
        <v>50437301.68</v>
      </c>
      <c r="C92" s="168">
        <f t="shared" si="8"/>
        <v>50437301.68</v>
      </c>
      <c r="D92" s="168">
        <f t="shared" si="9"/>
        <v>52959166.763999999</v>
      </c>
    </row>
    <row r="93" spans="1:5" ht="15.5">
      <c r="A93" s="170" t="s">
        <v>695</v>
      </c>
      <c r="B93" s="170">
        <f>-25000000-6303029.5+422963801-500000</f>
        <v>391160771.5</v>
      </c>
      <c r="C93" s="168">
        <f t="shared" si="8"/>
        <v>391160771.5</v>
      </c>
      <c r="D93" s="168">
        <f t="shared" si="9"/>
        <v>410718810.07499999</v>
      </c>
      <c r="E93" s="474">
        <v>25000000</v>
      </c>
    </row>
    <row r="94" spans="1:5" ht="15.5">
      <c r="A94" s="178" t="s">
        <v>672</v>
      </c>
      <c r="B94" s="178"/>
      <c r="C94" s="168">
        <f t="shared" si="8"/>
        <v>0</v>
      </c>
      <c r="D94" s="168">
        <f t="shared" si="9"/>
        <v>0</v>
      </c>
    </row>
    <row r="95" spans="1:5" ht="15.5">
      <c r="A95" s="179" t="s">
        <v>586</v>
      </c>
      <c r="B95" s="179">
        <f>SUM(B88:B94)</f>
        <v>533000782.94443226</v>
      </c>
      <c r="C95" s="180">
        <f>SUM(C88:C94)</f>
        <v>533000782.94443226</v>
      </c>
      <c r="D95" s="180">
        <f>SUM(D88:D94)</f>
        <v>559650822.09165382</v>
      </c>
      <c r="E95" s="162">
        <v>-6303029.9364128113</v>
      </c>
    </row>
    <row r="96" spans="1:5" ht="15.5">
      <c r="A96" s="179" t="s">
        <v>587</v>
      </c>
      <c r="B96" s="179">
        <f>B95+B86</f>
        <v>825393275.94443226</v>
      </c>
      <c r="C96" s="166">
        <f>SUM(B96:B96)</f>
        <v>825393275.94443226</v>
      </c>
      <c r="D96" s="166">
        <f>1.05*C96</f>
        <v>866662939.74165392</v>
      </c>
    </row>
    <row r="97" spans="1:4" ht="15.5">
      <c r="A97" s="181" t="s">
        <v>672</v>
      </c>
      <c r="B97" s="181"/>
      <c r="C97" s="168">
        <f>SUM(B97:B97)</f>
        <v>0</v>
      </c>
      <c r="D97" s="168">
        <f>1.05*C97</f>
        <v>0</v>
      </c>
    </row>
    <row r="98" spans="1:4" ht="15.5">
      <c r="A98" s="181" t="s">
        <v>672</v>
      </c>
      <c r="B98" s="181"/>
      <c r="C98" s="168">
        <f>SUM(B98:B98)</f>
        <v>0</v>
      </c>
      <c r="D98" s="168">
        <f>1.05*C98</f>
        <v>0</v>
      </c>
    </row>
    <row r="99" spans="1:4" ht="15.5">
      <c r="A99" s="173" t="s">
        <v>672</v>
      </c>
      <c r="B99" s="173"/>
      <c r="C99" s="168">
        <f t="shared" ref="C99:C133" si="10">SUM(B99:B99)</f>
        <v>0</v>
      </c>
      <c r="D99" s="168">
        <f t="shared" ref="D99:D133" si="11">1.05*C99</f>
        <v>0</v>
      </c>
    </row>
    <row r="100" spans="1:4" ht="15.5">
      <c r="A100" s="181" t="s">
        <v>588</v>
      </c>
      <c r="B100" s="181"/>
      <c r="C100" s="168">
        <f t="shared" si="10"/>
        <v>0</v>
      </c>
      <c r="D100" s="168">
        <f t="shared" si="11"/>
        <v>0</v>
      </c>
    </row>
    <row r="101" spans="1:4" ht="15.5">
      <c r="A101" s="181" t="s">
        <v>589</v>
      </c>
      <c r="B101" s="181"/>
      <c r="C101" s="168">
        <f t="shared" si="10"/>
        <v>0</v>
      </c>
      <c r="D101" s="168">
        <f t="shared" si="11"/>
        <v>0</v>
      </c>
    </row>
    <row r="102" spans="1:4" ht="15.5">
      <c r="A102" s="181" t="s">
        <v>590</v>
      </c>
      <c r="B102" s="181"/>
      <c r="C102" s="168">
        <f t="shared" si="10"/>
        <v>0</v>
      </c>
      <c r="D102" s="168">
        <f t="shared" si="11"/>
        <v>0</v>
      </c>
    </row>
    <row r="103" spans="1:4" ht="15.5">
      <c r="A103" s="181" t="s">
        <v>583</v>
      </c>
      <c r="B103" s="181">
        <f>B86</f>
        <v>292392493</v>
      </c>
      <c r="C103" s="182">
        <f>B103*1.05</f>
        <v>307012117.65000004</v>
      </c>
      <c r="D103" s="182">
        <f>C103*1.05</f>
        <v>322362723.53250003</v>
      </c>
    </row>
    <row r="104" spans="1:4" ht="15.5">
      <c r="A104" s="183" t="s">
        <v>585</v>
      </c>
      <c r="B104" s="183">
        <f>B95</f>
        <v>533000782.94443226</v>
      </c>
      <c r="C104" s="182">
        <f>B104*1.05</f>
        <v>559650822.09165394</v>
      </c>
      <c r="D104" s="182">
        <f>C104*1.05</f>
        <v>587633363.19623661</v>
      </c>
    </row>
    <row r="105" spans="1:4" ht="15.5">
      <c r="A105" s="183" t="s">
        <v>591</v>
      </c>
      <c r="B105" s="183">
        <f>B103+B104</f>
        <v>825393275.94443226</v>
      </c>
      <c r="C105" s="184">
        <f>C103+C104</f>
        <v>866662939.74165392</v>
      </c>
      <c r="D105" s="184">
        <f>D103+D104</f>
        <v>909996086.72873664</v>
      </c>
    </row>
    <row r="106" spans="1:4" ht="15.5">
      <c r="A106" s="183" t="s">
        <v>672</v>
      </c>
      <c r="B106" s="183"/>
      <c r="C106" s="168">
        <f t="shared" si="10"/>
        <v>0</v>
      </c>
      <c r="D106" s="168">
        <f t="shared" si="11"/>
        <v>0</v>
      </c>
    </row>
    <row r="107" spans="1:4" ht="31">
      <c r="A107" s="175" t="s">
        <v>592</v>
      </c>
      <c r="B107" s="175" t="s">
        <v>424</v>
      </c>
      <c r="C107" s="176" t="s">
        <v>12</v>
      </c>
      <c r="D107" s="176" t="s">
        <v>426</v>
      </c>
    </row>
    <row r="108" spans="1:4" ht="15.5">
      <c r="A108" s="183" t="s">
        <v>696</v>
      </c>
      <c r="B108" s="183">
        <v>0</v>
      </c>
      <c r="C108" s="168">
        <f t="shared" si="10"/>
        <v>0</v>
      </c>
      <c r="D108" s="168">
        <f t="shared" si="11"/>
        <v>0</v>
      </c>
    </row>
    <row r="109" spans="1:4" ht="15.5">
      <c r="A109" s="183" t="s">
        <v>697</v>
      </c>
      <c r="B109" s="183">
        <v>0</v>
      </c>
      <c r="C109" s="168">
        <f t="shared" si="10"/>
        <v>0</v>
      </c>
      <c r="D109" s="168">
        <f t="shared" si="11"/>
        <v>0</v>
      </c>
    </row>
    <row r="110" spans="1:4" ht="15.5">
      <c r="A110" s="183" t="s">
        <v>32</v>
      </c>
      <c r="B110" s="183">
        <v>0</v>
      </c>
      <c r="C110" s="168">
        <f t="shared" si="10"/>
        <v>0</v>
      </c>
      <c r="D110" s="168">
        <f t="shared" si="11"/>
        <v>0</v>
      </c>
    </row>
    <row r="111" spans="1:4" ht="15.5">
      <c r="A111" s="183" t="s">
        <v>698</v>
      </c>
      <c r="B111" s="183">
        <v>0</v>
      </c>
      <c r="C111" s="168">
        <f t="shared" si="10"/>
        <v>0</v>
      </c>
      <c r="D111" s="168">
        <f t="shared" si="11"/>
        <v>0</v>
      </c>
    </row>
    <row r="112" spans="1:4" ht="15.5">
      <c r="A112" s="169" t="s">
        <v>36</v>
      </c>
      <c r="B112" s="169">
        <f>B113+B114</f>
        <v>114160</v>
      </c>
      <c r="C112" s="166">
        <f t="shared" si="10"/>
        <v>114160</v>
      </c>
      <c r="D112" s="166">
        <f t="shared" si="11"/>
        <v>119868</v>
      </c>
    </row>
    <row r="113" spans="1:4" ht="15.5">
      <c r="A113" s="170" t="s">
        <v>699</v>
      </c>
      <c r="B113" s="170">
        <v>44160</v>
      </c>
      <c r="C113" s="168">
        <f t="shared" si="10"/>
        <v>44160</v>
      </c>
      <c r="D113" s="168">
        <f t="shared" si="11"/>
        <v>46368</v>
      </c>
    </row>
    <row r="114" spans="1:4" ht="15.5">
      <c r="A114" s="170" t="s">
        <v>700</v>
      </c>
      <c r="B114" s="170">
        <v>70000</v>
      </c>
      <c r="C114" s="168">
        <f t="shared" si="10"/>
        <v>70000</v>
      </c>
      <c r="D114" s="168">
        <f t="shared" si="11"/>
        <v>73500</v>
      </c>
    </row>
    <row r="115" spans="1:4" ht="15.5">
      <c r="A115" s="169" t="s">
        <v>91</v>
      </c>
      <c r="B115" s="169">
        <f>B116</f>
        <v>45600</v>
      </c>
      <c r="C115" s="166">
        <f t="shared" si="10"/>
        <v>45600</v>
      </c>
      <c r="D115" s="166">
        <f t="shared" si="11"/>
        <v>47880</v>
      </c>
    </row>
    <row r="116" spans="1:4" ht="15.5">
      <c r="A116" s="170" t="s">
        <v>46</v>
      </c>
      <c r="B116" s="170">
        <v>45600</v>
      </c>
      <c r="C116" s="168">
        <f t="shared" si="10"/>
        <v>45600</v>
      </c>
      <c r="D116" s="168">
        <f t="shared" si="11"/>
        <v>47880</v>
      </c>
    </row>
    <row r="117" spans="1:4" ht="15.5">
      <c r="A117" s="169" t="s">
        <v>47</v>
      </c>
      <c r="B117" s="169">
        <f>SUM(B118:B120)</f>
        <v>1103843.2320000001</v>
      </c>
      <c r="C117" s="166">
        <f t="shared" si="10"/>
        <v>1103843.2320000001</v>
      </c>
      <c r="D117" s="166">
        <f t="shared" si="11"/>
        <v>1159035.3936000001</v>
      </c>
    </row>
    <row r="118" spans="1:4" ht="15.5">
      <c r="A118" s="170" t="s">
        <v>701</v>
      </c>
      <c r="B118" s="170">
        <v>500500</v>
      </c>
      <c r="C118" s="168">
        <f t="shared" si="10"/>
        <v>500500</v>
      </c>
      <c r="D118" s="168">
        <f t="shared" si="11"/>
        <v>525525</v>
      </c>
    </row>
    <row r="119" spans="1:4" ht="15.5">
      <c r="A119" s="170" t="s">
        <v>702</v>
      </c>
      <c r="B119" s="170">
        <v>500000</v>
      </c>
      <c r="C119" s="168">
        <f t="shared" si="10"/>
        <v>500000</v>
      </c>
      <c r="D119" s="168">
        <f t="shared" si="11"/>
        <v>525000</v>
      </c>
    </row>
    <row r="120" spans="1:4" ht="15.5">
      <c r="A120" s="170" t="s">
        <v>703</v>
      </c>
      <c r="B120" s="170">
        <v>103343.232</v>
      </c>
      <c r="C120" s="168">
        <f t="shared" si="10"/>
        <v>103343.232</v>
      </c>
      <c r="D120" s="168">
        <f t="shared" si="11"/>
        <v>108510.39360000001</v>
      </c>
    </row>
    <row r="121" spans="1:4" ht="15.5">
      <c r="A121" s="169" t="s">
        <v>55</v>
      </c>
      <c r="B121" s="169">
        <f>B122</f>
        <v>105340</v>
      </c>
      <c r="C121" s="166">
        <f t="shared" si="10"/>
        <v>105340</v>
      </c>
      <c r="D121" s="166">
        <f t="shared" si="11"/>
        <v>110607</v>
      </c>
    </row>
    <row r="122" spans="1:4" ht="15.5">
      <c r="A122" s="170" t="s">
        <v>704</v>
      </c>
      <c r="B122" s="170">
        <v>105340</v>
      </c>
      <c r="C122" s="168">
        <f t="shared" si="10"/>
        <v>105340</v>
      </c>
      <c r="D122" s="168">
        <f t="shared" si="11"/>
        <v>110607</v>
      </c>
    </row>
    <row r="123" spans="1:4" ht="15.5">
      <c r="A123" s="169" t="s">
        <v>593</v>
      </c>
      <c r="B123" s="169">
        <f>B108+B110+B112+B115+B117+B121</f>
        <v>1368943.2320000001</v>
      </c>
      <c r="C123" s="166">
        <f t="shared" si="10"/>
        <v>1368943.2320000001</v>
      </c>
      <c r="D123" s="166">
        <f t="shared" si="11"/>
        <v>1437390.3936000001</v>
      </c>
    </row>
    <row r="124" spans="1:4" ht="15.5">
      <c r="A124" s="173" t="s">
        <v>672</v>
      </c>
      <c r="B124" s="173">
        <v>0</v>
      </c>
      <c r="C124" s="168">
        <f t="shared" si="10"/>
        <v>0</v>
      </c>
      <c r="D124" s="168">
        <f t="shared" si="11"/>
        <v>0</v>
      </c>
    </row>
    <row r="125" spans="1:4" ht="31">
      <c r="A125" s="175" t="s">
        <v>153</v>
      </c>
      <c r="B125" s="175" t="s">
        <v>424</v>
      </c>
      <c r="C125" s="176" t="s">
        <v>12</v>
      </c>
      <c r="D125" s="176" t="s">
        <v>426</v>
      </c>
    </row>
    <row r="126" spans="1:4" ht="31">
      <c r="A126" s="177" t="s">
        <v>705</v>
      </c>
      <c r="B126" s="177">
        <v>0</v>
      </c>
      <c r="C126" s="168">
        <f t="shared" si="10"/>
        <v>0</v>
      </c>
      <c r="D126" s="168">
        <f t="shared" si="11"/>
        <v>0</v>
      </c>
    </row>
    <row r="127" spans="1:4" ht="15.5">
      <c r="A127" s="171" t="s">
        <v>706</v>
      </c>
      <c r="B127" s="171">
        <v>0</v>
      </c>
      <c r="C127" s="168">
        <f t="shared" si="10"/>
        <v>0</v>
      </c>
      <c r="D127" s="168">
        <f t="shared" si="11"/>
        <v>0</v>
      </c>
    </row>
    <row r="128" spans="1:4" ht="15.5">
      <c r="A128" s="167" t="s">
        <v>594</v>
      </c>
      <c r="B128" s="167">
        <v>0</v>
      </c>
      <c r="C128" s="168">
        <f t="shared" si="10"/>
        <v>0</v>
      </c>
      <c r="D128" s="168">
        <f t="shared" si="11"/>
        <v>0</v>
      </c>
    </row>
    <row r="129" spans="1:4" ht="15.5">
      <c r="A129" s="179" t="s">
        <v>595</v>
      </c>
      <c r="B129" s="179">
        <f>SUM(B126:B128)</f>
        <v>0</v>
      </c>
      <c r="C129" s="166">
        <f t="shared" si="10"/>
        <v>0</v>
      </c>
      <c r="D129" s="166">
        <f t="shared" si="11"/>
        <v>0</v>
      </c>
    </row>
    <row r="130" spans="1:4" ht="15.5">
      <c r="A130" s="179" t="s">
        <v>596</v>
      </c>
      <c r="B130" s="179">
        <f>B123</f>
        <v>1368943.2320000001</v>
      </c>
      <c r="C130" s="166">
        <f t="shared" si="10"/>
        <v>1368943.2320000001</v>
      </c>
      <c r="D130" s="166">
        <f t="shared" si="11"/>
        <v>1437390.3936000001</v>
      </c>
    </row>
    <row r="131" spans="1:4" ht="15.5">
      <c r="A131" s="179" t="s">
        <v>597</v>
      </c>
      <c r="B131" s="179">
        <f>B103</f>
        <v>292392493</v>
      </c>
      <c r="C131" s="166">
        <f t="shared" si="10"/>
        <v>292392493</v>
      </c>
      <c r="D131" s="166">
        <f t="shared" si="11"/>
        <v>307012117.65000004</v>
      </c>
    </row>
    <row r="132" spans="1:4" ht="15.5">
      <c r="A132" s="179" t="s">
        <v>598</v>
      </c>
      <c r="B132" s="179">
        <f>B104</f>
        <v>533000782.94443226</v>
      </c>
      <c r="C132" s="166">
        <f t="shared" si="10"/>
        <v>533000782.94443226</v>
      </c>
      <c r="D132" s="166">
        <f t="shared" si="11"/>
        <v>559650822.09165394</v>
      </c>
    </row>
    <row r="133" spans="1:4" ht="15.5">
      <c r="A133" s="179" t="s">
        <v>599</v>
      </c>
      <c r="B133" s="179">
        <f>B130+B131+B132</f>
        <v>826762219.17643225</v>
      </c>
      <c r="C133" s="166">
        <f t="shared" si="10"/>
        <v>826762219.17643225</v>
      </c>
      <c r="D133" s="166">
        <f t="shared" si="11"/>
        <v>868100330.13525391</v>
      </c>
    </row>
    <row r="134" spans="1:4" ht="15.5">
      <c r="A134" s="179" t="s">
        <v>672</v>
      </c>
      <c r="B134" s="179"/>
      <c r="C134" s="185"/>
      <c r="D134" s="186"/>
    </row>
    <row r="135" spans="1:4" ht="31">
      <c r="A135" s="175" t="s">
        <v>600</v>
      </c>
      <c r="B135" s="175" t="s">
        <v>424</v>
      </c>
      <c r="C135" s="176" t="s">
        <v>12</v>
      </c>
      <c r="D135" s="176" t="s">
        <v>426</v>
      </c>
    </row>
    <row r="136" spans="1:4" ht="15.5">
      <c r="A136" s="173" t="s">
        <v>672</v>
      </c>
      <c r="B136" s="173"/>
      <c r="C136" s="185"/>
      <c r="D136" s="186"/>
    </row>
    <row r="137" spans="1:4" ht="15.5">
      <c r="A137" s="172" t="s">
        <v>581</v>
      </c>
      <c r="B137" s="172">
        <f>B138</f>
        <v>100000</v>
      </c>
      <c r="C137" s="185">
        <f>B137*1.05</f>
        <v>105000</v>
      </c>
      <c r="D137" s="185">
        <f>C137*1.05</f>
        <v>110250</v>
      </c>
    </row>
    <row r="138" spans="1:4" ht="15.5">
      <c r="A138" s="173" t="s">
        <v>84</v>
      </c>
      <c r="B138" s="173">
        <v>100000</v>
      </c>
      <c r="C138" s="187">
        <f t="shared" ref="C138:D159" si="12">B138*1.05</f>
        <v>105000</v>
      </c>
      <c r="D138" s="187">
        <f t="shared" si="12"/>
        <v>110250</v>
      </c>
    </row>
    <row r="139" spans="1:4" ht="15.5">
      <c r="A139" s="172" t="s">
        <v>36</v>
      </c>
      <c r="B139" s="172">
        <f>B140</f>
        <v>2000000</v>
      </c>
      <c r="C139" s="185">
        <f t="shared" si="12"/>
        <v>2100000</v>
      </c>
      <c r="D139" s="185">
        <f t="shared" si="12"/>
        <v>2205000</v>
      </c>
    </row>
    <row r="140" spans="1:4" ht="15.5">
      <c r="A140" s="173" t="s">
        <v>86</v>
      </c>
      <c r="B140" s="173">
        <v>2000000</v>
      </c>
      <c r="C140" s="187">
        <f t="shared" si="12"/>
        <v>2100000</v>
      </c>
      <c r="D140" s="187">
        <f t="shared" si="12"/>
        <v>2205000</v>
      </c>
    </row>
    <row r="141" spans="1:4" ht="15.5">
      <c r="A141" s="172" t="s">
        <v>91</v>
      </c>
      <c r="B141" s="172">
        <f>B142+B143</f>
        <v>2000000</v>
      </c>
      <c r="C141" s="185">
        <f t="shared" si="12"/>
        <v>2100000</v>
      </c>
      <c r="D141" s="185">
        <f t="shared" si="12"/>
        <v>2205000</v>
      </c>
    </row>
    <row r="142" spans="1:4" ht="15.5">
      <c r="A142" s="173" t="s">
        <v>44</v>
      </c>
      <c r="B142" s="173">
        <v>1500000</v>
      </c>
      <c r="C142" s="187">
        <f t="shared" si="12"/>
        <v>1575000</v>
      </c>
      <c r="D142" s="187">
        <f t="shared" si="12"/>
        <v>1653750</v>
      </c>
    </row>
    <row r="143" spans="1:4" ht="15.5">
      <c r="A143" s="173" t="s">
        <v>707</v>
      </c>
      <c r="B143" s="173">
        <v>500000</v>
      </c>
      <c r="C143" s="187">
        <f t="shared" si="12"/>
        <v>525000</v>
      </c>
      <c r="D143" s="187">
        <f t="shared" si="12"/>
        <v>551250</v>
      </c>
    </row>
    <row r="144" spans="1:4" ht="15.5">
      <c r="A144" s="172" t="s">
        <v>135</v>
      </c>
      <c r="B144" s="172">
        <f>B145</f>
        <v>400000</v>
      </c>
      <c r="C144" s="185">
        <f t="shared" si="12"/>
        <v>420000</v>
      </c>
      <c r="D144" s="185">
        <f t="shared" si="12"/>
        <v>441000</v>
      </c>
    </row>
    <row r="145" spans="1:4" ht="15.5">
      <c r="A145" s="173" t="s">
        <v>54</v>
      </c>
      <c r="B145" s="173">
        <v>400000</v>
      </c>
      <c r="C145" s="187">
        <f t="shared" si="12"/>
        <v>420000</v>
      </c>
      <c r="D145" s="187">
        <f t="shared" si="12"/>
        <v>441000</v>
      </c>
    </row>
    <row r="146" spans="1:4" ht="15.5">
      <c r="A146" s="172" t="s">
        <v>677</v>
      </c>
      <c r="B146" s="172">
        <f>B147+B148</f>
        <v>8200000</v>
      </c>
      <c r="C146" s="185">
        <f t="shared" si="12"/>
        <v>8610000</v>
      </c>
      <c r="D146" s="185">
        <f t="shared" si="12"/>
        <v>9040500</v>
      </c>
    </row>
    <row r="147" spans="1:4" ht="15.5">
      <c r="A147" s="173" t="s">
        <v>137</v>
      </c>
      <c r="B147" s="173">
        <v>7000000</v>
      </c>
      <c r="C147" s="187">
        <f t="shared" si="12"/>
        <v>7350000</v>
      </c>
      <c r="D147" s="187">
        <f t="shared" si="12"/>
        <v>7717500</v>
      </c>
    </row>
    <row r="148" spans="1:4" ht="15.5">
      <c r="A148" s="173" t="s">
        <v>708</v>
      </c>
      <c r="B148" s="173">
        <v>1200000</v>
      </c>
      <c r="C148" s="187">
        <f t="shared" si="12"/>
        <v>1260000</v>
      </c>
      <c r="D148" s="187">
        <f t="shared" si="12"/>
        <v>1323000</v>
      </c>
    </row>
    <row r="149" spans="1:4" ht="15.5">
      <c r="A149" s="173" t="s">
        <v>709</v>
      </c>
      <c r="B149" s="173">
        <v>0</v>
      </c>
      <c r="C149" s="187">
        <f t="shared" si="12"/>
        <v>0</v>
      </c>
      <c r="D149" s="187">
        <f t="shared" si="12"/>
        <v>0</v>
      </c>
    </row>
    <row r="150" spans="1:4" ht="15.5">
      <c r="A150" s="172" t="s">
        <v>55</v>
      </c>
      <c r="B150" s="172">
        <f>B151+B152</f>
        <v>2000000</v>
      </c>
      <c r="C150" s="185">
        <f t="shared" si="12"/>
        <v>2100000</v>
      </c>
      <c r="D150" s="185">
        <f t="shared" si="12"/>
        <v>2205000</v>
      </c>
    </row>
    <row r="151" spans="1:4" ht="15.5">
      <c r="A151" s="173" t="s">
        <v>685</v>
      </c>
      <c r="B151" s="173">
        <v>1000000</v>
      </c>
      <c r="C151" s="187">
        <f t="shared" si="12"/>
        <v>1050000</v>
      </c>
      <c r="D151" s="187">
        <f t="shared" si="12"/>
        <v>1102500</v>
      </c>
    </row>
    <row r="152" spans="1:4" ht="15.5">
      <c r="A152" s="173" t="s">
        <v>167</v>
      </c>
      <c r="B152" s="173">
        <v>1000000</v>
      </c>
      <c r="C152" s="187">
        <f t="shared" si="12"/>
        <v>1050000</v>
      </c>
      <c r="D152" s="187">
        <f t="shared" si="12"/>
        <v>1102500</v>
      </c>
    </row>
    <row r="153" spans="1:4" ht="15.5">
      <c r="A153" s="172" t="s">
        <v>58</v>
      </c>
      <c r="B153" s="172">
        <v>3000000</v>
      </c>
      <c r="C153" s="185">
        <f t="shared" si="12"/>
        <v>3150000</v>
      </c>
      <c r="D153" s="185">
        <f t="shared" si="12"/>
        <v>3307500</v>
      </c>
    </row>
    <row r="154" spans="1:4" ht="15.5">
      <c r="A154" s="173" t="s">
        <v>102</v>
      </c>
      <c r="B154" s="173">
        <v>3000000</v>
      </c>
      <c r="C154" s="187">
        <f t="shared" si="12"/>
        <v>3150000</v>
      </c>
      <c r="D154" s="187">
        <f t="shared" si="12"/>
        <v>3307500</v>
      </c>
    </row>
    <row r="155" spans="1:4" ht="15.5">
      <c r="A155" s="172" t="s">
        <v>64</v>
      </c>
      <c r="B155" s="172">
        <f>B156</f>
        <v>1000000</v>
      </c>
      <c r="C155" s="185">
        <f t="shared" si="12"/>
        <v>1050000</v>
      </c>
      <c r="D155" s="185">
        <f t="shared" si="12"/>
        <v>1102500</v>
      </c>
    </row>
    <row r="156" spans="1:4" ht="15.5">
      <c r="A156" s="173" t="s">
        <v>65</v>
      </c>
      <c r="B156" s="173">
        <v>1000000</v>
      </c>
      <c r="C156" s="187">
        <f t="shared" si="12"/>
        <v>1050000</v>
      </c>
      <c r="D156" s="187">
        <f t="shared" si="12"/>
        <v>1102500</v>
      </c>
    </row>
    <row r="157" spans="1:4" ht="15.5">
      <c r="A157" s="172" t="s">
        <v>710</v>
      </c>
      <c r="B157" s="172">
        <f>B158</f>
        <v>1300000</v>
      </c>
      <c r="C157" s="185">
        <f t="shared" si="12"/>
        <v>1365000</v>
      </c>
      <c r="D157" s="185">
        <f t="shared" si="12"/>
        <v>1433250</v>
      </c>
    </row>
    <row r="158" spans="1:4" ht="15.5">
      <c r="A158" s="173" t="s">
        <v>711</v>
      </c>
      <c r="B158" s="173">
        <v>1300000</v>
      </c>
      <c r="C158" s="187">
        <f t="shared" si="12"/>
        <v>1365000</v>
      </c>
      <c r="D158" s="187">
        <f t="shared" si="12"/>
        <v>1433250</v>
      </c>
    </row>
    <row r="159" spans="1:4" ht="15.5">
      <c r="A159" s="172" t="s">
        <v>601</v>
      </c>
      <c r="B159" s="172">
        <f>B157+B155+B150+B146+B144+B141+B139+B137+B153</f>
        <v>20000000</v>
      </c>
      <c r="C159" s="185">
        <f t="shared" si="12"/>
        <v>21000000</v>
      </c>
      <c r="D159" s="185">
        <f t="shared" si="12"/>
        <v>22050000</v>
      </c>
    </row>
    <row r="160" spans="1:4" ht="15.5">
      <c r="A160" s="179" t="s">
        <v>602</v>
      </c>
      <c r="B160" s="179"/>
      <c r="C160" s="187"/>
      <c r="D160" s="186"/>
    </row>
    <row r="161" spans="1:4" ht="15.5">
      <c r="A161" s="179" t="s">
        <v>672</v>
      </c>
      <c r="B161" s="179"/>
      <c r="C161" s="185"/>
      <c r="D161" s="180"/>
    </row>
    <row r="162" spans="1:4" ht="31">
      <c r="A162" s="175" t="s">
        <v>603</v>
      </c>
      <c r="B162" s="175" t="s">
        <v>424</v>
      </c>
      <c r="C162" s="176" t="s">
        <v>12</v>
      </c>
      <c r="D162" s="176" t="s">
        <v>426</v>
      </c>
    </row>
    <row r="163" spans="1:4">
      <c r="A163" s="170" t="s">
        <v>604</v>
      </c>
      <c r="B163" s="170">
        <v>0</v>
      </c>
      <c r="C163" s="188">
        <f>B163*1.05</f>
        <v>0</v>
      </c>
      <c r="D163" s="188">
        <f>C163*1.05</f>
        <v>0</v>
      </c>
    </row>
    <row r="164" spans="1:4">
      <c r="A164" s="170" t="s">
        <v>666</v>
      </c>
      <c r="B164" s="170">
        <v>0</v>
      </c>
      <c r="C164" s="188">
        <f t="shared" ref="C164:D172" si="13">B164*1.05</f>
        <v>0</v>
      </c>
      <c r="D164" s="188">
        <f t="shared" si="13"/>
        <v>0</v>
      </c>
    </row>
    <row r="165" spans="1:4">
      <c r="A165" s="170" t="s">
        <v>81</v>
      </c>
      <c r="B165" s="170">
        <v>0</v>
      </c>
      <c r="C165" s="188">
        <f t="shared" si="13"/>
        <v>0</v>
      </c>
      <c r="D165" s="188">
        <f t="shared" si="13"/>
        <v>0</v>
      </c>
    </row>
    <row r="166" spans="1:4">
      <c r="A166" s="170" t="s">
        <v>668</v>
      </c>
      <c r="B166" s="170">
        <v>0</v>
      </c>
      <c r="C166" s="188">
        <f t="shared" si="13"/>
        <v>0</v>
      </c>
      <c r="D166" s="188">
        <f t="shared" si="13"/>
        <v>0</v>
      </c>
    </row>
    <row r="167" spans="1:4">
      <c r="A167" s="170" t="s">
        <v>712</v>
      </c>
      <c r="B167" s="170">
        <v>0</v>
      </c>
      <c r="C167" s="188">
        <f t="shared" si="13"/>
        <v>0</v>
      </c>
      <c r="D167" s="188">
        <f t="shared" si="13"/>
        <v>0</v>
      </c>
    </row>
    <row r="168" spans="1:4">
      <c r="A168" s="170" t="s">
        <v>713</v>
      </c>
      <c r="B168" s="170">
        <v>0</v>
      </c>
      <c r="C168" s="188">
        <f t="shared" si="13"/>
        <v>0</v>
      </c>
      <c r="D168" s="188">
        <f t="shared" si="13"/>
        <v>0</v>
      </c>
    </row>
    <row r="169" spans="1:4">
      <c r="A169" s="170" t="s">
        <v>714</v>
      </c>
      <c r="B169" s="170">
        <v>0</v>
      </c>
      <c r="C169" s="188">
        <f t="shared" si="13"/>
        <v>0</v>
      </c>
      <c r="D169" s="188">
        <f t="shared" si="13"/>
        <v>0</v>
      </c>
    </row>
    <row r="170" spans="1:4">
      <c r="A170" s="170" t="s">
        <v>715</v>
      </c>
      <c r="B170" s="170">
        <v>0</v>
      </c>
      <c r="C170" s="188">
        <f t="shared" si="13"/>
        <v>0</v>
      </c>
      <c r="D170" s="188">
        <f t="shared" si="13"/>
        <v>0</v>
      </c>
    </row>
    <row r="171" spans="1:4">
      <c r="A171" s="170" t="s">
        <v>716</v>
      </c>
      <c r="B171" s="170">
        <v>0</v>
      </c>
      <c r="C171" s="188">
        <f t="shared" si="13"/>
        <v>0</v>
      </c>
      <c r="D171" s="188">
        <f t="shared" si="13"/>
        <v>0</v>
      </c>
    </row>
    <row r="172" spans="1:4">
      <c r="A172" s="170" t="s">
        <v>717</v>
      </c>
      <c r="B172" s="170">
        <v>0</v>
      </c>
      <c r="C172" s="188">
        <f t="shared" si="13"/>
        <v>0</v>
      </c>
      <c r="D172" s="188">
        <f t="shared" si="13"/>
        <v>0</v>
      </c>
    </row>
    <row r="173" spans="1:4" ht="15.5">
      <c r="A173" s="189" t="s">
        <v>29</v>
      </c>
      <c r="B173" s="189">
        <f>SUM(B174:B175)</f>
        <v>38400000</v>
      </c>
      <c r="C173" s="166">
        <f>B173*1.05</f>
        <v>40320000</v>
      </c>
      <c r="D173" s="166">
        <f>C173*1.05</f>
        <v>42336000</v>
      </c>
    </row>
    <row r="174" spans="1:4" ht="15.5">
      <c r="A174" s="190" t="s">
        <v>82</v>
      </c>
      <c r="B174" s="190">
        <v>36000000</v>
      </c>
      <c r="C174" s="168">
        <f t="shared" ref="C174:D205" si="14">B174*1.05</f>
        <v>37800000</v>
      </c>
      <c r="D174" s="168">
        <f t="shared" si="14"/>
        <v>39690000</v>
      </c>
    </row>
    <row r="175" spans="1:4" ht="15.5">
      <c r="A175" s="190" t="s">
        <v>83</v>
      </c>
      <c r="B175" s="190">
        <v>2400000</v>
      </c>
      <c r="C175" s="168">
        <f t="shared" si="14"/>
        <v>2520000</v>
      </c>
      <c r="D175" s="168">
        <f t="shared" si="14"/>
        <v>2646000</v>
      </c>
    </row>
    <row r="176" spans="1:4" ht="15.5">
      <c r="A176" s="189" t="s">
        <v>126</v>
      </c>
      <c r="B176" s="189">
        <f>SUM(B177:B179)</f>
        <v>2820000</v>
      </c>
      <c r="C176" s="166">
        <f t="shared" si="14"/>
        <v>2961000</v>
      </c>
      <c r="D176" s="166">
        <f t="shared" si="14"/>
        <v>3109050</v>
      </c>
    </row>
    <row r="177" spans="1:4" ht="15.5">
      <c r="A177" s="190" t="s">
        <v>84</v>
      </c>
      <c r="B177" s="190">
        <v>1620000</v>
      </c>
      <c r="C177" s="168">
        <f t="shared" si="14"/>
        <v>1701000</v>
      </c>
      <c r="D177" s="168">
        <f t="shared" si="14"/>
        <v>1786050</v>
      </c>
    </row>
    <row r="178" spans="1:4" ht="15.5">
      <c r="A178" s="190" t="s">
        <v>85</v>
      </c>
      <c r="B178" s="190">
        <v>1000000</v>
      </c>
      <c r="C178" s="168">
        <f t="shared" si="14"/>
        <v>1050000</v>
      </c>
      <c r="D178" s="168">
        <f t="shared" si="14"/>
        <v>1102500</v>
      </c>
    </row>
    <row r="179" spans="1:4" ht="15.5">
      <c r="A179" s="190" t="s">
        <v>35</v>
      </c>
      <c r="B179" s="190">
        <v>200000</v>
      </c>
      <c r="C179" s="168">
        <f t="shared" si="14"/>
        <v>210000</v>
      </c>
      <c r="D179" s="168">
        <f t="shared" si="14"/>
        <v>220500</v>
      </c>
    </row>
    <row r="180" spans="1:4" ht="15.5">
      <c r="A180" s="189" t="s">
        <v>36</v>
      </c>
      <c r="B180" s="189">
        <f>SUM(B181:B187)</f>
        <v>17000000</v>
      </c>
      <c r="C180" s="166">
        <f t="shared" si="14"/>
        <v>17850000</v>
      </c>
      <c r="D180" s="166">
        <f t="shared" si="14"/>
        <v>18742500</v>
      </c>
    </row>
    <row r="181" spans="1:4" ht="15.5">
      <c r="A181" s="190" t="s">
        <v>86</v>
      </c>
      <c r="B181" s="190">
        <v>2000000</v>
      </c>
      <c r="C181" s="168">
        <f t="shared" si="14"/>
        <v>2100000</v>
      </c>
      <c r="D181" s="168">
        <f t="shared" si="14"/>
        <v>2205000</v>
      </c>
    </row>
    <row r="182" spans="1:4" ht="15.5">
      <c r="A182" s="190" t="s">
        <v>87</v>
      </c>
      <c r="B182" s="190">
        <v>9000000</v>
      </c>
      <c r="C182" s="168">
        <f t="shared" si="14"/>
        <v>9450000</v>
      </c>
      <c r="D182" s="168">
        <f t="shared" si="14"/>
        <v>9922500</v>
      </c>
    </row>
    <row r="183" spans="1:4" ht="15.5">
      <c r="A183" s="190" t="s">
        <v>88</v>
      </c>
      <c r="B183" s="190">
        <v>6000000</v>
      </c>
      <c r="C183" s="168">
        <f t="shared" si="14"/>
        <v>6300000</v>
      </c>
      <c r="D183" s="168">
        <f t="shared" si="14"/>
        <v>6615000</v>
      </c>
    </row>
    <row r="184" spans="1:4" ht="15.5">
      <c r="A184" s="189" t="s">
        <v>89</v>
      </c>
      <c r="B184" s="189">
        <f>SUM(B185:B187)</f>
        <v>0</v>
      </c>
      <c r="C184" s="168">
        <f t="shared" si="14"/>
        <v>0</v>
      </c>
      <c r="D184" s="168">
        <f t="shared" si="14"/>
        <v>0</v>
      </c>
    </row>
    <row r="185" spans="1:4" ht="15.5">
      <c r="A185" s="190" t="s">
        <v>90</v>
      </c>
      <c r="B185" s="190"/>
      <c r="C185" s="168">
        <f t="shared" si="14"/>
        <v>0</v>
      </c>
      <c r="D185" s="168">
        <f t="shared" si="14"/>
        <v>0</v>
      </c>
    </row>
    <row r="186" spans="1:4" ht="15.5">
      <c r="A186" s="190" t="s">
        <v>673</v>
      </c>
      <c r="B186" s="190"/>
      <c r="C186" s="168">
        <f t="shared" si="14"/>
        <v>0</v>
      </c>
      <c r="D186" s="168">
        <f t="shared" si="14"/>
        <v>0</v>
      </c>
    </row>
    <row r="187" spans="1:4" ht="15.5">
      <c r="A187" s="190" t="s">
        <v>41</v>
      </c>
      <c r="B187" s="190"/>
      <c r="C187" s="168">
        <f t="shared" si="14"/>
        <v>0</v>
      </c>
      <c r="D187" s="168">
        <f t="shared" si="14"/>
        <v>0</v>
      </c>
    </row>
    <row r="188" spans="1:4" ht="15.5">
      <c r="A188" s="189" t="s">
        <v>91</v>
      </c>
      <c r="B188" s="189">
        <f>SUM(B189:B192)</f>
        <v>800000</v>
      </c>
      <c r="C188" s="166">
        <f t="shared" si="14"/>
        <v>840000</v>
      </c>
      <c r="D188" s="166">
        <f t="shared" si="14"/>
        <v>882000</v>
      </c>
    </row>
    <row r="189" spans="1:4" ht="15.5">
      <c r="A189" s="190" t="s">
        <v>44</v>
      </c>
      <c r="B189" s="190">
        <v>800000</v>
      </c>
      <c r="C189" s="168">
        <f t="shared" si="14"/>
        <v>840000</v>
      </c>
      <c r="D189" s="168">
        <f t="shared" si="14"/>
        <v>882000</v>
      </c>
    </row>
    <row r="190" spans="1:4" ht="15.5">
      <c r="A190" s="190" t="s">
        <v>165</v>
      </c>
      <c r="B190" s="190"/>
      <c r="C190" s="168">
        <f t="shared" si="14"/>
        <v>0</v>
      </c>
      <c r="D190" s="168">
        <f t="shared" si="14"/>
        <v>0</v>
      </c>
    </row>
    <row r="191" spans="1:4" ht="15.5">
      <c r="A191" s="190" t="s">
        <v>45</v>
      </c>
      <c r="B191" s="190"/>
      <c r="C191" s="168">
        <f t="shared" si="14"/>
        <v>0</v>
      </c>
      <c r="D191" s="168">
        <f t="shared" si="14"/>
        <v>0</v>
      </c>
    </row>
    <row r="192" spans="1:4" ht="15.5">
      <c r="A192" s="191" t="s">
        <v>46</v>
      </c>
      <c r="B192" s="191"/>
      <c r="C192" s="168">
        <f t="shared" si="14"/>
        <v>0</v>
      </c>
      <c r="D192" s="168">
        <f t="shared" si="14"/>
        <v>0</v>
      </c>
    </row>
    <row r="193" spans="1:4" ht="15.5">
      <c r="A193" s="189" t="s">
        <v>718</v>
      </c>
      <c r="B193" s="189">
        <f>SUM(B194)</f>
        <v>0</v>
      </c>
      <c r="C193" s="168">
        <f t="shared" si="14"/>
        <v>0</v>
      </c>
      <c r="D193" s="168">
        <f t="shared" si="14"/>
        <v>0</v>
      </c>
    </row>
    <row r="194" spans="1:4" ht="15.5">
      <c r="A194" s="190" t="s">
        <v>719</v>
      </c>
      <c r="B194" s="190"/>
      <c r="C194" s="168">
        <f t="shared" si="14"/>
        <v>0</v>
      </c>
      <c r="D194" s="168">
        <f t="shared" si="14"/>
        <v>0</v>
      </c>
    </row>
    <row r="195" spans="1:4" ht="15.5">
      <c r="A195" s="189" t="s">
        <v>47</v>
      </c>
      <c r="B195" s="189">
        <f>SUM(B196:B197)</f>
        <v>2943839</v>
      </c>
      <c r="C195" s="166">
        <f t="shared" si="14"/>
        <v>3091030.95</v>
      </c>
      <c r="D195" s="166">
        <f t="shared" si="14"/>
        <v>3245582.4975000005</v>
      </c>
    </row>
    <row r="196" spans="1:4" ht="15.5">
      <c r="A196" s="190" t="s">
        <v>93</v>
      </c>
      <c r="B196" s="190">
        <v>2543839</v>
      </c>
      <c r="C196" s="168">
        <f t="shared" si="14"/>
        <v>2671030.9500000002</v>
      </c>
      <c r="D196" s="168">
        <f t="shared" si="14"/>
        <v>2804582.4975000005</v>
      </c>
    </row>
    <row r="197" spans="1:4" ht="15.5">
      <c r="A197" s="190" t="s">
        <v>94</v>
      </c>
      <c r="B197" s="190">
        <v>400000</v>
      </c>
      <c r="C197" s="168">
        <f t="shared" si="14"/>
        <v>420000</v>
      </c>
      <c r="D197" s="168">
        <f t="shared" si="14"/>
        <v>441000</v>
      </c>
    </row>
    <row r="198" spans="1:4" ht="15.5">
      <c r="A198" s="189" t="s">
        <v>49</v>
      </c>
      <c r="B198" s="189">
        <f>SUM(B199:B200)</f>
        <v>4500000</v>
      </c>
      <c r="C198" s="166">
        <f t="shared" si="14"/>
        <v>4725000</v>
      </c>
      <c r="D198" s="166">
        <f t="shared" si="14"/>
        <v>4961250</v>
      </c>
    </row>
    <row r="199" spans="1:4" ht="15.5">
      <c r="A199" s="190" t="s">
        <v>675</v>
      </c>
      <c r="B199" s="190">
        <v>1500000</v>
      </c>
      <c r="C199" s="168">
        <f t="shared" si="14"/>
        <v>1575000</v>
      </c>
      <c r="D199" s="168">
        <f t="shared" si="14"/>
        <v>1653750</v>
      </c>
    </row>
    <row r="200" spans="1:4" ht="15.5">
      <c r="A200" s="190" t="s">
        <v>134</v>
      </c>
      <c r="B200" s="190">
        <v>3000000</v>
      </c>
      <c r="C200" s="168">
        <f t="shared" si="14"/>
        <v>3150000</v>
      </c>
      <c r="D200" s="168">
        <f t="shared" si="14"/>
        <v>3307500</v>
      </c>
    </row>
    <row r="201" spans="1:4" ht="15.5">
      <c r="A201" s="192" t="s">
        <v>135</v>
      </c>
      <c r="B201" s="192">
        <f>SUM(B202)</f>
        <v>400000</v>
      </c>
      <c r="C201" s="166">
        <f t="shared" si="14"/>
        <v>420000</v>
      </c>
      <c r="D201" s="166">
        <f t="shared" si="14"/>
        <v>441000</v>
      </c>
    </row>
    <row r="202" spans="1:4" ht="15.5">
      <c r="A202" s="191" t="s">
        <v>54</v>
      </c>
      <c r="B202" s="191">
        <v>400000</v>
      </c>
      <c r="C202" s="168">
        <f t="shared" si="14"/>
        <v>420000</v>
      </c>
      <c r="D202" s="168">
        <f t="shared" si="14"/>
        <v>441000</v>
      </c>
    </row>
    <row r="203" spans="1:4" ht="15.5">
      <c r="A203" s="189" t="s">
        <v>677</v>
      </c>
      <c r="B203" s="189">
        <f>SUM(B204:B213)</f>
        <v>196550000</v>
      </c>
      <c r="C203" s="166">
        <f t="shared" si="14"/>
        <v>206377500</v>
      </c>
      <c r="D203" s="166">
        <f t="shared" si="14"/>
        <v>216696375</v>
      </c>
    </row>
    <row r="204" spans="1:4" ht="15.5">
      <c r="A204" s="190" t="s">
        <v>678</v>
      </c>
      <c r="B204" s="190">
        <v>44000000</v>
      </c>
      <c r="C204" s="168">
        <f t="shared" si="14"/>
        <v>46200000</v>
      </c>
      <c r="D204" s="168">
        <f t="shared" si="14"/>
        <v>48510000</v>
      </c>
    </row>
    <row r="205" spans="1:4" ht="15.5">
      <c r="A205" s="190" t="s">
        <v>679</v>
      </c>
      <c r="B205" s="190">
        <v>48000000</v>
      </c>
      <c r="C205" s="168">
        <f t="shared" si="14"/>
        <v>50400000</v>
      </c>
      <c r="D205" s="168">
        <f t="shared" si="14"/>
        <v>52920000</v>
      </c>
    </row>
    <row r="206" spans="1:4" ht="15.5">
      <c r="A206" s="190" t="s">
        <v>137</v>
      </c>
      <c r="B206" s="190">
        <v>800000</v>
      </c>
      <c r="C206" s="168">
        <f t="shared" ref="C206:D237" si="15">B206*1.05</f>
        <v>840000</v>
      </c>
      <c r="D206" s="168">
        <f t="shared" si="15"/>
        <v>882000</v>
      </c>
    </row>
    <row r="207" spans="1:4" ht="15.5">
      <c r="A207" s="190" t="s">
        <v>680</v>
      </c>
      <c r="B207" s="190">
        <v>8750000</v>
      </c>
      <c r="C207" s="168">
        <f t="shared" si="15"/>
        <v>9187500</v>
      </c>
      <c r="D207" s="168">
        <f t="shared" si="15"/>
        <v>9646875</v>
      </c>
    </row>
    <row r="208" spans="1:4" ht="15.5">
      <c r="A208" s="190" t="s">
        <v>681</v>
      </c>
      <c r="B208" s="190">
        <v>34000000</v>
      </c>
      <c r="C208" s="168">
        <f t="shared" si="15"/>
        <v>35700000</v>
      </c>
      <c r="D208" s="168">
        <f t="shared" si="15"/>
        <v>37485000</v>
      </c>
    </row>
    <row r="209" spans="1:4" ht="15.5">
      <c r="A209" s="190" t="s">
        <v>682</v>
      </c>
      <c r="B209" s="190">
        <v>45000000</v>
      </c>
      <c r="C209" s="168">
        <f t="shared" si="15"/>
        <v>47250000</v>
      </c>
      <c r="D209" s="168">
        <f t="shared" si="15"/>
        <v>49612500</v>
      </c>
    </row>
    <row r="210" spans="1:4" ht="15.5">
      <c r="A210" s="190" t="s">
        <v>720</v>
      </c>
      <c r="B210" s="190">
        <v>2000000</v>
      </c>
      <c r="C210" s="168">
        <f t="shared" si="15"/>
        <v>2100000</v>
      </c>
      <c r="D210" s="168">
        <f t="shared" si="15"/>
        <v>2205000</v>
      </c>
    </row>
    <row r="211" spans="1:4" ht="15.5">
      <c r="A211" s="190" t="s">
        <v>721</v>
      </c>
      <c r="B211" s="190">
        <v>2000000</v>
      </c>
      <c r="C211" s="168">
        <f t="shared" si="15"/>
        <v>2100000</v>
      </c>
      <c r="D211" s="168">
        <f t="shared" si="15"/>
        <v>2205000</v>
      </c>
    </row>
    <row r="212" spans="1:4" ht="15.5">
      <c r="A212" s="190" t="s">
        <v>683</v>
      </c>
      <c r="B212" s="190">
        <v>2000000</v>
      </c>
      <c r="C212" s="168">
        <f t="shared" si="15"/>
        <v>2100000</v>
      </c>
      <c r="D212" s="168">
        <f t="shared" si="15"/>
        <v>2205000</v>
      </c>
    </row>
    <row r="213" spans="1:4" ht="15.5">
      <c r="A213" s="190" t="s">
        <v>722</v>
      </c>
      <c r="B213" s="190">
        <v>10000000</v>
      </c>
      <c r="C213" s="168">
        <f t="shared" si="15"/>
        <v>10500000</v>
      </c>
      <c r="D213" s="168">
        <f t="shared" si="15"/>
        <v>11025000</v>
      </c>
    </row>
    <row r="214" spans="1:4" ht="15.5">
      <c r="A214" s="189" t="s">
        <v>55</v>
      </c>
      <c r="B214" s="189">
        <f>SUM(B215:B217)</f>
        <v>6000000</v>
      </c>
      <c r="C214" s="166">
        <f t="shared" si="15"/>
        <v>6300000</v>
      </c>
      <c r="D214" s="166">
        <f t="shared" si="15"/>
        <v>6615000</v>
      </c>
    </row>
    <row r="215" spans="1:4" ht="15.5">
      <c r="A215" s="190" t="s">
        <v>685</v>
      </c>
      <c r="B215" s="190">
        <v>2400000</v>
      </c>
      <c r="C215" s="168">
        <f t="shared" si="15"/>
        <v>2520000</v>
      </c>
      <c r="D215" s="168">
        <f t="shared" si="15"/>
        <v>2646000</v>
      </c>
    </row>
    <row r="216" spans="1:4" ht="15.5">
      <c r="A216" s="190" t="s">
        <v>167</v>
      </c>
      <c r="B216" s="190">
        <v>1600000</v>
      </c>
      <c r="C216" s="168">
        <f t="shared" si="15"/>
        <v>1680000</v>
      </c>
      <c r="D216" s="168">
        <f t="shared" si="15"/>
        <v>1764000</v>
      </c>
    </row>
    <row r="217" spans="1:4" ht="15.5">
      <c r="A217" s="190" t="s">
        <v>57</v>
      </c>
      <c r="B217" s="190">
        <v>2000000</v>
      </c>
      <c r="C217" s="168">
        <f t="shared" si="15"/>
        <v>2100000</v>
      </c>
      <c r="D217" s="168">
        <f t="shared" si="15"/>
        <v>2205000</v>
      </c>
    </row>
    <row r="218" spans="1:4" ht="15.5">
      <c r="A218" s="189" t="s">
        <v>58</v>
      </c>
      <c r="B218" s="189">
        <f>SUM(B219:B220)</f>
        <v>12000000</v>
      </c>
      <c r="C218" s="166">
        <f t="shared" si="15"/>
        <v>12600000</v>
      </c>
      <c r="D218" s="166">
        <f t="shared" si="15"/>
        <v>13230000</v>
      </c>
    </row>
    <row r="219" spans="1:4" ht="15.5">
      <c r="A219" s="190" t="s">
        <v>102</v>
      </c>
      <c r="B219" s="190">
        <v>8000000</v>
      </c>
      <c r="C219" s="168">
        <f t="shared" si="15"/>
        <v>8400000</v>
      </c>
      <c r="D219" s="168">
        <f t="shared" si="15"/>
        <v>8820000</v>
      </c>
    </row>
    <row r="220" spans="1:4" ht="15.5">
      <c r="A220" s="190" t="s">
        <v>723</v>
      </c>
      <c r="B220" s="190">
        <v>4000000</v>
      </c>
      <c r="C220" s="168">
        <f t="shared" si="15"/>
        <v>4200000</v>
      </c>
      <c r="D220" s="168">
        <f t="shared" si="15"/>
        <v>4410000</v>
      </c>
    </row>
    <row r="221" spans="1:4" ht="15.5">
      <c r="A221" s="189" t="s">
        <v>60</v>
      </c>
      <c r="B221" s="189">
        <f>SUM(B222:B226)</f>
        <v>17452000</v>
      </c>
      <c r="C221" s="166">
        <f t="shared" si="15"/>
        <v>18324600</v>
      </c>
      <c r="D221" s="166">
        <f t="shared" si="15"/>
        <v>19240830</v>
      </c>
    </row>
    <row r="222" spans="1:4" ht="15.5">
      <c r="A222" s="190" t="s">
        <v>724</v>
      </c>
      <c r="B222" s="190">
        <v>50000</v>
      </c>
      <c r="C222" s="168">
        <f t="shared" si="15"/>
        <v>52500</v>
      </c>
      <c r="D222" s="168">
        <f t="shared" si="15"/>
        <v>55125</v>
      </c>
    </row>
    <row r="223" spans="1:4" ht="15.5">
      <c r="A223" s="190" t="s">
        <v>725</v>
      </c>
      <c r="B223" s="190">
        <v>3500000</v>
      </c>
      <c r="C223" s="168">
        <f t="shared" si="15"/>
        <v>3675000</v>
      </c>
      <c r="D223" s="168">
        <f t="shared" si="15"/>
        <v>3858750</v>
      </c>
    </row>
    <row r="224" spans="1:4" ht="15.5">
      <c r="A224" s="190" t="s">
        <v>103</v>
      </c>
      <c r="B224" s="190">
        <v>7902000</v>
      </c>
      <c r="C224" s="168">
        <f t="shared" si="15"/>
        <v>8297100</v>
      </c>
      <c r="D224" s="168">
        <f t="shared" si="15"/>
        <v>8711955</v>
      </c>
    </row>
    <row r="225" spans="1:4" ht="15.5">
      <c r="A225" s="190" t="s">
        <v>61</v>
      </c>
      <c r="B225" s="190">
        <v>2000000</v>
      </c>
      <c r="C225" s="168">
        <f t="shared" si="15"/>
        <v>2100000</v>
      </c>
      <c r="D225" s="168">
        <f t="shared" si="15"/>
        <v>2205000</v>
      </c>
    </row>
    <row r="226" spans="1:4" ht="15.5">
      <c r="A226" s="190" t="s">
        <v>726</v>
      </c>
      <c r="B226" s="190">
        <v>4000000</v>
      </c>
      <c r="C226" s="168">
        <f t="shared" si="15"/>
        <v>4200000</v>
      </c>
      <c r="D226" s="168">
        <f t="shared" si="15"/>
        <v>4410000</v>
      </c>
    </row>
    <row r="227" spans="1:4" ht="15.5">
      <c r="A227" s="189" t="s">
        <v>64</v>
      </c>
      <c r="B227" s="189">
        <f>SUM(B228)</f>
        <v>3000000</v>
      </c>
      <c r="C227" s="166">
        <f t="shared" si="15"/>
        <v>3150000</v>
      </c>
      <c r="D227" s="166">
        <f t="shared" si="15"/>
        <v>3307500</v>
      </c>
    </row>
    <row r="228" spans="1:4" ht="15.5">
      <c r="A228" s="190" t="s">
        <v>65</v>
      </c>
      <c r="B228" s="190">
        <v>3000000</v>
      </c>
      <c r="C228" s="168">
        <f t="shared" si="15"/>
        <v>3150000</v>
      </c>
      <c r="D228" s="168">
        <f t="shared" si="15"/>
        <v>3307500</v>
      </c>
    </row>
    <row r="229" spans="1:4" ht="15.5">
      <c r="A229" s="189" t="s">
        <v>112</v>
      </c>
      <c r="B229" s="189">
        <f>SUM(B230:B235)</f>
        <v>25800000</v>
      </c>
      <c r="C229" s="166">
        <f t="shared" si="15"/>
        <v>27090000</v>
      </c>
      <c r="D229" s="166">
        <f t="shared" si="15"/>
        <v>28444500</v>
      </c>
    </row>
    <row r="230" spans="1:4" ht="15.5">
      <c r="A230" s="190" t="s">
        <v>113</v>
      </c>
      <c r="B230" s="190">
        <v>3000000</v>
      </c>
      <c r="C230" s="168">
        <f t="shared" si="15"/>
        <v>3150000</v>
      </c>
      <c r="D230" s="168">
        <f t="shared" si="15"/>
        <v>3307500</v>
      </c>
    </row>
    <row r="231" spans="1:4" ht="15.5">
      <c r="A231" s="190" t="s">
        <v>66</v>
      </c>
      <c r="B231" s="190">
        <v>1000000</v>
      </c>
      <c r="C231" s="168">
        <f t="shared" si="15"/>
        <v>1050000</v>
      </c>
      <c r="D231" s="168">
        <f t="shared" si="15"/>
        <v>1102500</v>
      </c>
    </row>
    <row r="232" spans="1:4" ht="15.5">
      <c r="A232" s="190" t="s">
        <v>689</v>
      </c>
      <c r="B232" s="190">
        <v>11000000</v>
      </c>
      <c r="C232" s="168">
        <f t="shared" si="15"/>
        <v>11550000</v>
      </c>
      <c r="D232" s="168">
        <f t="shared" si="15"/>
        <v>12127500</v>
      </c>
    </row>
    <row r="233" spans="1:4" ht="15.5">
      <c r="A233" s="190" t="s">
        <v>142</v>
      </c>
      <c r="B233" s="190">
        <v>9800000</v>
      </c>
      <c r="C233" s="168">
        <f t="shared" si="15"/>
        <v>10290000</v>
      </c>
      <c r="D233" s="168">
        <f t="shared" si="15"/>
        <v>10804500</v>
      </c>
    </row>
    <row r="234" spans="1:4" ht="15.5">
      <c r="A234" s="190" t="s">
        <v>67</v>
      </c>
      <c r="B234" s="190">
        <v>1000000</v>
      </c>
      <c r="C234" s="168">
        <f t="shared" si="15"/>
        <v>1050000</v>
      </c>
      <c r="D234" s="168">
        <f t="shared" si="15"/>
        <v>1102500</v>
      </c>
    </row>
    <row r="235" spans="1:4" ht="15.5">
      <c r="A235" s="193" t="s">
        <v>672</v>
      </c>
      <c r="B235" s="193"/>
      <c r="C235" s="168">
        <f t="shared" si="15"/>
        <v>0</v>
      </c>
      <c r="D235" s="168">
        <f t="shared" si="15"/>
        <v>0</v>
      </c>
    </row>
    <row r="236" spans="1:4" ht="15.5">
      <c r="A236" s="189" t="s">
        <v>727</v>
      </c>
      <c r="B236" s="189">
        <f>SUM(B237)</f>
        <v>1000000</v>
      </c>
      <c r="C236" s="166">
        <f t="shared" si="15"/>
        <v>1050000</v>
      </c>
      <c r="D236" s="166">
        <f t="shared" si="15"/>
        <v>1102500</v>
      </c>
    </row>
    <row r="237" spans="1:4" ht="15.5">
      <c r="A237" s="190" t="s">
        <v>694</v>
      </c>
      <c r="B237" s="190">
        <v>1000000</v>
      </c>
      <c r="C237" s="168">
        <f t="shared" si="15"/>
        <v>1050000</v>
      </c>
      <c r="D237" s="168">
        <f t="shared" si="15"/>
        <v>1102500</v>
      </c>
    </row>
    <row r="238" spans="1:4" ht="15.5">
      <c r="A238" s="189" t="s">
        <v>115</v>
      </c>
      <c r="B238" s="189">
        <f>SUM(B239:B242)</f>
        <v>10000000</v>
      </c>
      <c r="C238" s="166">
        <f t="shared" ref="C238:D247" si="16">B238*1.05</f>
        <v>10500000</v>
      </c>
      <c r="D238" s="166">
        <f t="shared" si="16"/>
        <v>11025000</v>
      </c>
    </row>
    <row r="239" spans="1:4" ht="15.5">
      <c r="A239" s="190" t="s">
        <v>69</v>
      </c>
      <c r="B239" s="190">
        <v>2000000</v>
      </c>
      <c r="C239" s="168">
        <f t="shared" si="16"/>
        <v>2100000</v>
      </c>
      <c r="D239" s="168">
        <f t="shared" si="16"/>
        <v>2205000</v>
      </c>
    </row>
    <row r="240" spans="1:4" ht="15.5">
      <c r="A240" s="190" t="s">
        <v>70</v>
      </c>
      <c r="B240" s="190">
        <v>7000000</v>
      </c>
      <c r="C240" s="168">
        <f t="shared" si="16"/>
        <v>7350000</v>
      </c>
      <c r="D240" s="168">
        <f t="shared" si="16"/>
        <v>7717500</v>
      </c>
    </row>
    <row r="241" spans="1:4" ht="15.5">
      <c r="A241" s="190" t="s">
        <v>728</v>
      </c>
      <c r="B241" s="190"/>
      <c r="C241" s="168">
        <f t="shared" si="16"/>
        <v>0</v>
      </c>
      <c r="D241" s="168">
        <f t="shared" si="16"/>
        <v>0</v>
      </c>
    </row>
    <row r="242" spans="1:4" ht="15.5">
      <c r="A242" s="190" t="s">
        <v>729</v>
      </c>
      <c r="B242" s="190">
        <v>1000000</v>
      </c>
      <c r="C242" s="168">
        <f t="shared" si="16"/>
        <v>1050000</v>
      </c>
      <c r="D242" s="168">
        <f t="shared" si="16"/>
        <v>1102500</v>
      </c>
    </row>
    <row r="243" spans="1:4" ht="15.5">
      <c r="A243" s="189" t="s">
        <v>730</v>
      </c>
      <c r="B243" s="189">
        <f>SUM(B244:B246)</f>
        <v>5150000</v>
      </c>
      <c r="C243" s="166">
        <f t="shared" si="16"/>
        <v>5407500</v>
      </c>
      <c r="D243" s="166">
        <f t="shared" si="16"/>
        <v>5677875</v>
      </c>
    </row>
    <row r="244" spans="1:4" ht="15.5">
      <c r="A244" s="190" t="s">
        <v>731</v>
      </c>
      <c r="B244" s="190">
        <v>0</v>
      </c>
      <c r="C244" s="168">
        <f t="shared" si="16"/>
        <v>0</v>
      </c>
      <c r="D244" s="168">
        <f t="shared" si="16"/>
        <v>0</v>
      </c>
    </row>
    <row r="245" spans="1:4" ht="15.5">
      <c r="A245" s="190" t="s">
        <v>732</v>
      </c>
      <c r="B245" s="190">
        <v>5150000</v>
      </c>
      <c r="C245" s="168">
        <f t="shared" si="16"/>
        <v>5407500</v>
      </c>
      <c r="D245" s="168">
        <f t="shared" si="16"/>
        <v>5677875</v>
      </c>
    </row>
    <row r="246" spans="1:4" ht="15.5">
      <c r="A246" s="191" t="s">
        <v>733</v>
      </c>
      <c r="B246" s="191"/>
      <c r="C246" s="168">
        <f t="shared" si="16"/>
        <v>0</v>
      </c>
      <c r="D246" s="168">
        <f t="shared" si="16"/>
        <v>0</v>
      </c>
    </row>
    <row r="247" spans="1:4" ht="31">
      <c r="A247" s="192" t="s">
        <v>605</v>
      </c>
      <c r="B247" s="192">
        <f>B243+B238+B236+B229+B227+B221+B218+B214+B203+B198+B195+B188+B184+B180+B176+B173</f>
        <v>343415839</v>
      </c>
      <c r="C247" s="166">
        <f t="shared" si="16"/>
        <v>360586630.94999999</v>
      </c>
      <c r="D247" s="166">
        <f t="shared" si="16"/>
        <v>378615962.4975</v>
      </c>
    </row>
    <row r="248" spans="1:4" ht="15.5">
      <c r="A248" s="165" t="s">
        <v>606</v>
      </c>
      <c r="B248" s="165"/>
      <c r="C248" s="185">
        <v>0</v>
      </c>
      <c r="D248" s="194">
        <v>0</v>
      </c>
    </row>
    <row r="249" spans="1:4" ht="15.5">
      <c r="A249" s="195" t="s">
        <v>734</v>
      </c>
      <c r="B249" s="195">
        <v>50000000</v>
      </c>
      <c r="C249" s="168">
        <f>SUM(B249:B249)</f>
        <v>50000000</v>
      </c>
      <c r="D249" s="194">
        <v>0</v>
      </c>
    </row>
    <row r="250" spans="1:4" ht="15.5">
      <c r="A250" s="196" t="s">
        <v>156</v>
      </c>
      <c r="B250" s="196">
        <v>0</v>
      </c>
      <c r="C250" s="185">
        <v>0</v>
      </c>
      <c r="D250" s="194">
        <v>0</v>
      </c>
    </row>
    <row r="251" spans="1:4" ht="15.5">
      <c r="A251" s="195" t="s">
        <v>607</v>
      </c>
      <c r="B251" s="195">
        <v>0</v>
      </c>
      <c r="C251" s="185">
        <v>0</v>
      </c>
      <c r="D251" s="194">
        <v>0</v>
      </c>
    </row>
    <row r="252" spans="1:4" ht="15.5">
      <c r="A252" s="195" t="s">
        <v>735</v>
      </c>
      <c r="B252" s="195">
        <v>0</v>
      </c>
      <c r="C252" s="185">
        <v>0</v>
      </c>
      <c r="D252" s="194">
        <v>0</v>
      </c>
    </row>
    <row r="253" spans="1:4" ht="31">
      <c r="A253" s="175" t="s">
        <v>608</v>
      </c>
      <c r="B253" s="175">
        <f>B249+B250+B251+B252</f>
        <v>50000000</v>
      </c>
      <c r="C253" s="185">
        <v>0</v>
      </c>
      <c r="D253" s="197">
        <v>0</v>
      </c>
    </row>
    <row r="254" spans="1:4" ht="46.5">
      <c r="A254" s="165" t="s">
        <v>609</v>
      </c>
      <c r="B254" s="165">
        <f>B247+B253</f>
        <v>393415839</v>
      </c>
      <c r="C254" s="166">
        <f>SUM(B254:B254)</f>
        <v>393415839</v>
      </c>
      <c r="D254" s="197">
        <v>394094723.39999998</v>
      </c>
    </row>
    <row r="255" spans="1:4" ht="15.5">
      <c r="A255" s="165" t="s">
        <v>672</v>
      </c>
      <c r="B255" s="165"/>
      <c r="C255" s="187">
        <v>0</v>
      </c>
      <c r="D255" s="194"/>
    </row>
    <row r="256" spans="1:4" ht="31">
      <c r="A256" s="175" t="s">
        <v>610</v>
      </c>
      <c r="B256" s="175" t="s">
        <v>424</v>
      </c>
      <c r="C256" s="176" t="s">
        <v>12</v>
      </c>
      <c r="D256" s="176" t="s">
        <v>426</v>
      </c>
    </row>
    <row r="257" spans="1:4" ht="15.5">
      <c r="A257" s="175" t="s">
        <v>604</v>
      </c>
      <c r="B257" s="175"/>
      <c r="C257" s="168">
        <f t="shared" ref="C257:C266" si="17">SUM(B257:B257)</f>
        <v>0</v>
      </c>
      <c r="D257" s="198"/>
    </row>
    <row r="258" spans="1:4" ht="15.5">
      <c r="A258" s="171" t="s">
        <v>666</v>
      </c>
      <c r="B258" s="171">
        <v>0</v>
      </c>
      <c r="C258" s="168">
        <f t="shared" si="17"/>
        <v>0</v>
      </c>
      <c r="D258" s="194"/>
    </row>
    <row r="259" spans="1:4" ht="15.5">
      <c r="A259" s="171" t="s">
        <v>81</v>
      </c>
      <c r="B259" s="171">
        <v>0</v>
      </c>
      <c r="C259" s="168">
        <f t="shared" si="17"/>
        <v>0</v>
      </c>
      <c r="D259" s="194"/>
    </row>
    <row r="260" spans="1:4" ht="15.5">
      <c r="A260" s="165" t="s">
        <v>668</v>
      </c>
      <c r="B260" s="165">
        <v>0</v>
      </c>
      <c r="C260" s="168">
        <f t="shared" si="17"/>
        <v>0</v>
      </c>
      <c r="D260" s="194"/>
    </row>
    <row r="261" spans="1:4" ht="15.5">
      <c r="A261" s="171" t="s">
        <v>712</v>
      </c>
      <c r="B261" s="171">
        <v>0</v>
      </c>
      <c r="C261" s="168">
        <f t="shared" si="17"/>
        <v>0</v>
      </c>
      <c r="D261" s="194"/>
    </row>
    <row r="262" spans="1:4" ht="31">
      <c r="A262" s="171" t="s">
        <v>713</v>
      </c>
      <c r="B262" s="171">
        <v>0</v>
      </c>
      <c r="C262" s="168">
        <f t="shared" si="17"/>
        <v>0</v>
      </c>
      <c r="D262" s="194"/>
    </row>
    <row r="263" spans="1:4" ht="15.5">
      <c r="A263" s="171" t="s">
        <v>714</v>
      </c>
      <c r="B263" s="171">
        <v>0</v>
      </c>
      <c r="C263" s="168">
        <f t="shared" si="17"/>
        <v>0</v>
      </c>
      <c r="D263" s="194"/>
    </row>
    <row r="264" spans="1:4" ht="15.5">
      <c r="A264" s="171" t="s">
        <v>715</v>
      </c>
      <c r="B264" s="171">
        <v>0</v>
      </c>
      <c r="C264" s="168">
        <f t="shared" si="17"/>
        <v>0</v>
      </c>
      <c r="D264" s="194"/>
    </row>
    <row r="265" spans="1:4" ht="31">
      <c r="A265" s="171" t="s">
        <v>716</v>
      </c>
      <c r="B265" s="171">
        <v>0</v>
      </c>
      <c r="C265" s="168">
        <f t="shared" si="17"/>
        <v>0</v>
      </c>
      <c r="D265" s="194"/>
    </row>
    <row r="266" spans="1:4" ht="15.5">
      <c r="A266" s="165" t="s">
        <v>717</v>
      </c>
      <c r="B266" s="165">
        <v>0</v>
      </c>
      <c r="C266" s="168">
        <f t="shared" si="17"/>
        <v>0</v>
      </c>
      <c r="D266" s="194"/>
    </row>
    <row r="267" spans="1:4" ht="15.5">
      <c r="A267" s="196" t="s">
        <v>29</v>
      </c>
      <c r="B267" s="196">
        <f>SUM(B268:B269)</f>
        <v>28000000</v>
      </c>
      <c r="C267" s="166">
        <f>B267*1.05</f>
        <v>29400000</v>
      </c>
      <c r="D267" s="166">
        <f>C267*1.05</f>
        <v>30870000</v>
      </c>
    </row>
    <row r="268" spans="1:4" ht="15.5">
      <c r="A268" s="199" t="s">
        <v>82</v>
      </c>
      <c r="B268" s="199">
        <v>20000000</v>
      </c>
      <c r="C268" s="168">
        <f t="shared" ref="C268:D299" si="18">B268*1.05</f>
        <v>21000000</v>
      </c>
      <c r="D268" s="168">
        <f t="shared" si="18"/>
        <v>22050000</v>
      </c>
    </row>
    <row r="269" spans="1:4" ht="15.5">
      <c r="A269" s="199" t="s">
        <v>83</v>
      </c>
      <c r="B269" s="199">
        <v>8000000</v>
      </c>
      <c r="C269" s="168">
        <f t="shared" si="18"/>
        <v>8400000</v>
      </c>
      <c r="D269" s="168">
        <f t="shared" si="18"/>
        <v>8820000</v>
      </c>
    </row>
    <row r="270" spans="1:4" ht="15.5">
      <c r="A270" s="196" t="s">
        <v>126</v>
      </c>
      <c r="B270" s="196">
        <f>SUM(B271:B273)</f>
        <v>2800000</v>
      </c>
      <c r="C270" s="166">
        <f t="shared" si="18"/>
        <v>2940000</v>
      </c>
      <c r="D270" s="166">
        <f t="shared" si="18"/>
        <v>3087000</v>
      </c>
    </row>
    <row r="271" spans="1:4" ht="15.5">
      <c r="A271" s="199" t="s">
        <v>84</v>
      </c>
      <c r="B271" s="199">
        <v>1500000</v>
      </c>
      <c r="C271" s="168">
        <f t="shared" si="18"/>
        <v>1575000</v>
      </c>
      <c r="D271" s="168">
        <f t="shared" si="18"/>
        <v>1653750</v>
      </c>
    </row>
    <row r="272" spans="1:4" ht="15.5">
      <c r="A272" s="199" t="s">
        <v>85</v>
      </c>
      <c r="B272" s="199">
        <v>1100000</v>
      </c>
      <c r="C272" s="168">
        <f t="shared" si="18"/>
        <v>1155000</v>
      </c>
      <c r="D272" s="168">
        <f t="shared" si="18"/>
        <v>1212750</v>
      </c>
    </row>
    <row r="273" spans="1:4" ht="15.5">
      <c r="A273" s="199" t="s">
        <v>35</v>
      </c>
      <c r="B273" s="199">
        <v>200000</v>
      </c>
      <c r="C273" s="168">
        <f t="shared" si="18"/>
        <v>210000</v>
      </c>
      <c r="D273" s="168">
        <f t="shared" si="18"/>
        <v>220500</v>
      </c>
    </row>
    <row r="274" spans="1:4" ht="15.5">
      <c r="A274" s="196" t="s">
        <v>36</v>
      </c>
      <c r="B274" s="196">
        <f>SUM(B275:B277)</f>
        <v>9000000</v>
      </c>
      <c r="C274" s="166">
        <f t="shared" si="18"/>
        <v>9450000</v>
      </c>
      <c r="D274" s="166">
        <f t="shared" si="18"/>
        <v>9922500</v>
      </c>
    </row>
    <row r="275" spans="1:4" ht="15.5">
      <c r="A275" s="200" t="s">
        <v>86</v>
      </c>
      <c r="B275" s="200">
        <v>0</v>
      </c>
      <c r="C275" s="168">
        <f t="shared" si="18"/>
        <v>0</v>
      </c>
      <c r="D275" s="168">
        <f t="shared" si="18"/>
        <v>0</v>
      </c>
    </row>
    <row r="276" spans="1:4" ht="15.5">
      <c r="A276" s="199" t="s">
        <v>87</v>
      </c>
      <c r="B276" s="199">
        <v>5000000</v>
      </c>
      <c r="C276" s="168">
        <f t="shared" si="18"/>
        <v>5250000</v>
      </c>
      <c r="D276" s="168">
        <f t="shared" si="18"/>
        <v>5512500</v>
      </c>
    </row>
    <row r="277" spans="1:4" ht="15.5">
      <c r="A277" s="199" t="s">
        <v>88</v>
      </c>
      <c r="B277" s="199">
        <v>4000000</v>
      </c>
      <c r="C277" s="168">
        <f t="shared" si="18"/>
        <v>4200000</v>
      </c>
      <c r="D277" s="168">
        <f t="shared" si="18"/>
        <v>4410000</v>
      </c>
    </row>
    <row r="278" spans="1:4" ht="15.5">
      <c r="A278" s="196" t="s">
        <v>89</v>
      </c>
      <c r="B278" s="196">
        <v>0</v>
      </c>
      <c r="C278" s="168">
        <f t="shared" si="18"/>
        <v>0</v>
      </c>
      <c r="D278" s="168">
        <f t="shared" si="18"/>
        <v>0</v>
      </c>
    </row>
    <row r="279" spans="1:4" ht="15.5">
      <c r="A279" s="195" t="s">
        <v>90</v>
      </c>
      <c r="B279" s="195">
        <v>0</v>
      </c>
      <c r="C279" s="168">
        <f t="shared" si="18"/>
        <v>0</v>
      </c>
      <c r="D279" s="168">
        <f t="shared" si="18"/>
        <v>0</v>
      </c>
    </row>
    <row r="280" spans="1:4" ht="15.5">
      <c r="A280" s="195" t="s">
        <v>673</v>
      </c>
      <c r="B280" s="195">
        <v>0</v>
      </c>
      <c r="C280" s="168">
        <f t="shared" si="18"/>
        <v>0</v>
      </c>
      <c r="D280" s="168">
        <f t="shared" si="18"/>
        <v>0</v>
      </c>
    </row>
    <row r="281" spans="1:4" ht="15.5">
      <c r="A281" s="195" t="s">
        <v>41</v>
      </c>
      <c r="B281" s="195">
        <v>0</v>
      </c>
      <c r="C281" s="168">
        <f t="shared" si="18"/>
        <v>0</v>
      </c>
      <c r="D281" s="168">
        <f t="shared" si="18"/>
        <v>0</v>
      </c>
    </row>
    <row r="282" spans="1:4" ht="15.5">
      <c r="A282" s="196" t="s">
        <v>91</v>
      </c>
      <c r="B282" s="196">
        <f>SUM(B283:B285)</f>
        <v>2100000.1437007841</v>
      </c>
      <c r="C282" s="166">
        <f t="shared" si="18"/>
        <v>2205000.1508858232</v>
      </c>
      <c r="D282" s="166">
        <f t="shared" si="18"/>
        <v>2315250.1584301144</v>
      </c>
    </row>
    <row r="283" spans="1:4" ht="15.5">
      <c r="A283" s="199" t="s">
        <v>44</v>
      </c>
      <c r="B283" s="199">
        <v>1000000</v>
      </c>
      <c r="C283" s="168">
        <f t="shared" si="18"/>
        <v>1050000</v>
      </c>
      <c r="D283" s="168">
        <f t="shared" si="18"/>
        <v>1102500</v>
      </c>
    </row>
    <row r="284" spans="1:4" ht="15.5">
      <c r="A284" s="199" t="s">
        <v>165</v>
      </c>
      <c r="B284" s="199">
        <v>100000.143700784</v>
      </c>
      <c r="C284" s="168">
        <f t="shared" si="18"/>
        <v>105000.1508858232</v>
      </c>
      <c r="D284" s="168">
        <f t="shared" si="18"/>
        <v>110250.15843011436</v>
      </c>
    </row>
    <row r="285" spans="1:4" ht="15.5">
      <c r="A285" s="199" t="s">
        <v>45</v>
      </c>
      <c r="B285" s="199">
        <v>1000000</v>
      </c>
      <c r="C285" s="168">
        <f t="shared" si="18"/>
        <v>1050000</v>
      </c>
      <c r="D285" s="168">
        <f t="shared" si="18"/>
        <v>1102500</v>
      </c>
    </row>
    <row r="286" spans="1:4" ht="15.5">
      <c r="A286" s="201" t="s">
        <v>46</v>
      </c>
      <c r="B286" s="201">
        <v>0</v>
      </c>
      <c r="C286" s="168">
        <f t="shared" si="18"/>
        <v>0</v>
      </c>
      <c r="D286" s="168">
        <f t="shared" si="18"/>
        <v>0</v>
      </c>
    </row>
    <row r="287" spans="1:4" ht="15.5">
      <c r="A287" s="195" t="s">
        <v>718</v>
      </c>
      <c r="B287" s="195">
        <v>0</v>
      </c>
      <c r="C287" s="168">
        <f t="shared" si="18"/>
        <v>0</v>
      </c>
      <c r="D287" s="168">
        <f t="shared" si="18"/>
        <v>0</v>
      </c>
    </row>
    <row r="288" spans="1:4" ht="15.5">
      <c r="A288" s="195" t="s">
        <v>719</v>
      </c>
      <c r="B288" s="195">
        <v>0</v>
      </c>
      <c r="C288" s="168">
        <f t="shared" si="18"/>
        <v>0</v>
      </c>
      <c r="D288" s="168">
        <f t="shared" si="18"/>
        <v>0</v>
      </c>
    </row>
    <row r="289" spans="1:4" ht="15.5">
      <c r="A289" s="196" t="s">
        <v>47</v>
      </c>
      <c r="B289" s="196">
        <v>0</v>
      </c>
      <c r="C289" s="168">
        <f t="shared" si="18"/>
        <v>0</v>
      </c>
      <c r="D289" s="168">
        <f t="shared" si="18"/>
        <v>0</v>
      </c>
    </row>
    <row r="290" spans="1:4" ht="15.5">
      <c r="A290" s="195" t="s">
        <v>93</v>
      </c>
      <c r="B290" s="195">
        <v>0</v>
      </c>
      <c r="C290" s="168">
        <f t="shared" si="18"/>
        <v>0</v>
      </c>
      <c r="D290" s="168">
        <f t="shared" si="18"/>
        <v>0</v>
      </c>
    </row>
    <row r="291" spans="1:4" ht="15.5">
      <c r="A291" s="195" t="s">
        <v>94</v>
      </c>
      <c r="B291" s="195">
        <v>0</v>
      </c>
      <c r="C291" s="168">
        <f t="shared" si="18"/>
        <v>0</v>
      </c>
      <c r="D291" s="168">
        <f t="shared" si="18"/>
        <v>0</v>
      </c>
    </row>
    <row r="292" spans="1:4" ht="15.5">
      <c r="A292" s="196" t="s">
        <v>49</v>
      </c>
      <c r="B292" s="196">
        <f>SUM(B293:B294)</f>
        <v>9000000</v>
      </c>
      <c r="C292" s="166">
        <f t="shared" si="18"/>
        <v>9450000</v>
      </c>
      <c r="D292" s="166">
        <f t="shared" si="18"/>
        <v>9922500</v>
      </c>
    </row>
    <row r="293" spans="1:4" ht="15.5">
      <c r="A293" s="199" t="s">
        <v>675</v>
      </c>
      <c r="B293" s="199">
        <v>3000000</v>
      </c>
      <c r="C293" s="168">
        <f t="shared" si="18"/>
        <v>3150000</v>
      </c>
      <c r="D293" s="168">
        <f t="shared" si="18"/>
        <v>3307500</v>
      </c>
    </row>
    <row r="294" spans="1:4" ht="15.5">
      <c r="A294" s="199" t="s">
        <v>134</v>
      </c>
      <c r="B294" s="199">
        <v>6000000</v>
      </c>
      <c r="C294" s="168">
        <f t="shared" si="18"/>
        <v>6300000</v>
      </c>
      <c r="D294" s="168">
        <f t="shared" si="18"/>
        <v>6615000</v>
      </c>
    </row>
    <row r="295" spans="1:4" ht="15.5">
      <c r="A295" s="196" t="s">
        <v>135</v>
      </c>
      <c r="B295" s="196">
        <f>B297</f>
        <v>3500000</v>
      </c>
      <c r="C295" s="166">
        <f t="shared" si="18"/>
        <v>3675000</v>
      </c>
      <c r="D295" s="166">
        <f t="shared" si="18"/>
        <v>3858750</v>
      </c>
    </row>
    <row r="296" spans="1:4" ht="15.5">
      <c r="A296" s="201" t="s">
        <v>736</v>
      </c>
      <c r="B296" s="201">
        <v>0</v>
      </c>
      <c r="C296" s="168">
        <f t="shared" si="18"/>
        <v>0</v>
      </c>
      <c r="D296" s="168">
        <f t="shared" si="18"/>
        <v>0</v>
      </c>
    </row>
    <row r="297" spans="1:4" ht="15.5">
      <c r="A297" s="199" t="s">
        <v>737</v>
      </c>
      <c r="B297" s="199">
        <v>3500000</v>
      </c>
      <c r="C297" s="168">
        <f t="shared" si="18"/>
        <v>3675000</v>
      </c>
      <c r="D297" s="168">
        <f t="shared" si="18"/>
        <v>3858750</v>
      </c>
    </row>
    <row r="298" spans="1:4" ht="15.5">
      <c r="A298" s="196" t="s">
        <v>677</v>
      </c>
      <c r="B298" s="196">
        <f>SUM(B299:B308)</f>
        <v>168250000</v>
      </c>
      <c r="C298" s="166">
        <f t="shared" si="18"/>
        <v>176662500</v>
      </c>
      <c r="D298" s="166">
        <f t="shared" si="18"/>
        <v>185495625</v>
      </c>
    </row>
    <row r="299" spans="1:4" ht="15.5">
      <c r="A299" s="199" t="s">
        <v>678</v>
      </c>
      <c r="B299" s="199">
        <v>38500000</v>
      </c>
      <c r="C299" s="168">
        <f t="shared" si="18"/>
        <v>40425000</v>
      </c>
      <c r="D299" s="168">
        <f t="shared" si="18"/>
        <v>42446250</v>
      </c>
    </row>
    <row r="300" spans="1:4" ht="15.5">
      <c r="A300" s="199" t="s">
        <v>679</v>
      </c>
      <c r="B300" s="199">
        <v>41400000</v>
      </c>
      <c r="C300" s="168">
        <f t="shared" ref="C300:D331" si="19">B300*1.05</f>
        <v>43470000</v>
      </c>
      <c r="D300" s="168">
        <f t="shared" si="19"/>
        <v>45643500</v>
      </c>
    </row>
    <row r="301" spans="1:4" ht="15.5">
      <c r="A301" s="199" t="s">
        <v>137</v>
      </c>
      <c r="B301" s="199">
        <v>550000</v>
      </c>
      <c r="C301" s="168">
        <f t="shared" si="19"/>
        <v>577500</v>
      </c>
      <c r="D301" s="168">
        <f t="shared" si="19"/>
        <v>606375</v>
      </c>
    </row>
    <row r="302" spans="1:4" ht="15.5">
      <c r="A302" s="199" t="s">
        <v>680</v>
      </c>
      <c r="B302" s="199">
        <v>3500000</v>
      </c>
      <c r="C302" s="168">
        <f t="shared" si="19"/>
        <v>3675000</v>
      </c>
      <c r="D302" s="168">
        <f t="shared" si="19"/>
        <v>3858750</v>
      </c>
    </row>
    <row r="303" spans="1:4" ht="15.5">
      <c r="A303" s="199" t="s">
        <v>681</v>
      </c>
      <c r="B303" s="199">
        <v>25000000</v>
      </c>
      <c r="C303" s="168">
        <f t="shared" si="19"/>
        <v>26250000</v>
      </c>
      <c r="D303" s="168">
        <f t="shared" si="19"/>
        <v>27562500</v>
      </c>
    </row>
    <row r="304" spans="1:4" ht="15.5">
      <c r="A304" s="199" t="s">
        <v>682</v>
      </c>
      <c r="B304" s="199">
        <v>47000000</v>
      </c>
      <c r="C304" s="168">
        <f t="shared" si="19"/>
        <v>49350000</v>
      </c>
      <c r="D304" s="168">
        <f t="shared" si="19"/>
        <v>51817500</v>
      </c>
    </row>
    <row r="305" spans="1:4" ht="15.5">
      <c r="A305" s="199" t="s">
        <v>720</v>
      </c>
      <c r="B305" s="199">
        <v>2500000</v>
      </c>
      <c r="C305" s="168">
        <f t="shared" si="19"/>
        <v>2625000</v>
      </c>
      <c r="D305" s="168">
        <f t="shared" si="19"/>
        <v>2756250</v>
      </c>
    </row>
    <row r="306" spans="1:4" ht="15.5">
      <c r="A306" s="199" t="s">
        <v>721</v>
      </c>
      <c r="B306" s="199">
        <v>1300000</v>
      </c>
      <c r="C306" s="168">
        <f t="shared" si="19"/>
        <v>1365000</v>
      </c>
      <c r="D306" s="168">
        <f t="shared" si="19"/>
        <v>1433250</v>
      </c>
    </row>
    <row r="307" spans="1:4" ht="15.5">
      <c r="A307" s="199" t="s">
        <v>683</v>
      </c>
      <c r="B307" s="199">
        <v>2500000</v>
      </c>
      <c r="C307" s="168">
        <f t="shared" si="19"/>
        <v>2625000</v>
      </c>
      <c r="D307" s="168">
        <f t="shared" si="19"/>
        <v>2756250</v>
      </c>
    </row>
    <row r="308" spans="1:4" ht="15.5">
      <c r="A308" s="199" t="s">
        <v>722</v>
      </c>
      <c r="B308" s="199">
        <v>6000000</v>
      </c>
      <c r="C308" s="168">
        <f t="shared" si="19"/>
        <v>6300000</v>
      </c>
      <c r="D308" s="168">
        <f t="shared" si="19"/>
        <v>6615000</v>
      </c>
    </row>
    <row r="309" spans="1:4" ht="15.5">
      <c r="A309" s="196" t="s">
        <v>55</v>
      </c>
      <c r="B309" s="196">
        <f>SUM(B310:B312)</f>
        <v>11900000</v>
      </c>
      <c r="C309" s="166">
        <f t="shared" si="19"/>
        <v>12495000</v>
      </c>
      <c r="D309" s="166">
        <f t="shared" si="19"/>
        <v>13119750</v>
      </c>
    </row>
    <row r="310" spans="1:4" ht="15.5">
      <c r="A310" s="199" t="s">
        <v>685</v>
      </c>
      <c r="B310" s="199">
        <v>3900000</v>
      </c>
      <c r="C310" s="168">
        <f t="shared" si="19"/>
        <v>4095000</v>
      </c>
      <c r="D310" s="168">
        <f t="shared" si="19"/>
        <v>4299750</v>
      </c>
    </row>
    <row r="311" spans="1:4" ht="15.5">
      <c r="A311" s="199" t="s">
        <v>167</v>
      </c>
      <c r="B311" s="199">
        <v>2500000</v>
      </c>
      <c r="C311" s="168">
        <f t="shared" si="19"/>
        <v>2625000</v>
      </c>
      <c r="D311" s="168">
        <f t="shared" si="19"/>
        <v>2756250</v>
      </c>
    </row>
    <row r="312" spans="1:4" ht="15.5">
      <c r="A312" s="199" t="s">
        <v>57</v>
      </c>
      <c r="B312" s="199">
        <v>5500000</v>
      </c>
      <c r="C312" s="168">
        <f t="shared" si="19"/>
        <v>5775000</v>
      </c>
      <c r="D312" s="168">
        <f t="shared" si="19"/>
        <v>6063750</v>
      </c>
    </row>
    <row r="313" spans="1:4" ht="15.5">
      <c r="A313" s="196" t="s">
        <v>58</v>
      </c>
      <c r="B313" s="196">
        <f>SUM(B314:B315)</f>
        <v>11000000</v>
      </c>
      <c r="C313" s="166">
        <f t="shared" si="19"/>
        <v>11550000</v>
      </c>
      <c r="D313" s="166">
        <f t="shared" si="19"/>
        <v>12127500</v>
      </c>
    </row>
    <row r="314" spans="1:4" ht="15.5">
      <c r="A314" s="199" t="s">
        <v>102</v>
      </c>
      <c r="B314" s="199">
        <v>8000000</v>
      </c>
      <c r="C314" s="168">
        <f t="shared" si="19"/>
        <v>8400000</v>
      </c>
      <c r="D314" s="168">
        <f t="shared" si="19"/>
        <v>8820000</v>
      </c>
    </row>
    <row r="315" spans="1:4" ht="15.5">
      <c r="A315" s="199" t="s">
        <v>723</v>
      </c>
      <c r="B315" s="199">
        <v>3000000</v>
      </c>
      <c r="C315" s="168">
        <f t="shared" si="19"/>
        <v>3150000</v>
      </c>
      <c r="D315" s="168">
        <f t="shared" si="19"/>
        <v>3307500</v>
      </c>
    </row>
    <row r="316" spans="1:4" ht="15.5">
      <c r="A316" s="196" t="s">
        <v>60</v>
      </c>
      <c r="B316" s="196">
        <f>SUM(B317:B321)</f>
        <v>18250000</v>
      </c>
      <c r="C316" s="166">
        <f t="shared" si="19"/>
        <v>19162500</v>
      </c>
      <c r="D316" s="166">
        <f t="shared" si="19"/>
        <v>20120625</v>
      </c>
    </row>
    <row r="317" spans="1:4" ht="15.5">
      <c r="A317" s="199" t="s">
        <v>724</v>
      </c>
      <c r="B317" s="199">
        <v>250000</v>
      </c>
      <c r="C317" s="168">
        <f t="shared" si="19"/>
        <v>262500</v>
      </c>
      <c r="D317" s="168">
        <f t="shared" si="19"/>
        <v>275625</v>
      </c>
    </row>
    <row r="318" spans="1:4" ht="15.5">
      <c r="A318" s="199" t="s">
        <v>725</v>
      </c>
      <c r="B318" s="199">
        <v>6000000</v>
      </c>
      <c r="C318" s="168">
        <f t="shared" si="19"/>
        <v>6300000</v>
      </c>
      <c r="D318" s="168">
        <f t="shared" si="19"/>
        <v>6615000</v>
      </c>
    </row>
    <row r="319" spans="1:4" ht="15.5">
      <c r="A319" s="199" t="s">
        <v>103</v>
      </c>
      <c r="B319" s="199">
        <v>10000000</v>
      </c>
      <c r="C319" s="168">
        <f t="shared" si="19"/>
        <v>10500000</v>
      </c>
      <c r="D319" s="168">
        <f t="shared" si="19"/>
        <v>11025000</v>
      </c>
    </row>
    <row r="320" spans="1:4" ht="15.5">
      <c r="A320" s="199" t="s">
        <v>61</v>
      </c>
      <c r="B320" s="199">
        <v>2000000</v>
      </c>
      <c r="C320" s="168">
        <f t="shared" si="19"/>
        <v>2100000</v>
      </c>
      <c r="D320" s="168">
        <f t="shared" si="19"/>
        <v>2205000</v>
      </c>
    </row>
    <row r="321" spans="1:4" ht="15.5">
      <c r="A321" s="195" t="s">
        <v>726</v>
      </c>
      <c r="B321" s="195">
        <v>0</v>
      </c>
      <c r="C321" s="168">
        <f t="shared" si="19"/>
        <v>0</v>
      </c>
      <c r="D321" s="168">
        <f t="shared" si="19"/>
        <v>0</v>
      </c>
    </row>
    <row r="322" spans="1:4" ht="15.5">
      <c r="A322" s="196" t="s">
        <v>64</v>
      </c>
      <c r="B322" s="196">
        <f>B323</f>
        <v>6000000</v>
      </c>
      <c r="C322" s="166">
        <f t="shared" si="19"/>
        <v>6300000</v>
      </c>
      <c r="D322" s="166">
        <f t="shared" si="19"/>
        <v>6615000</v>
      </c>
    </row>
    <row r="323" spans="1:4" ht="15.5">
      <c r="A323" s="199" t="s">
        <v>65</v>
      </c>
      <c r="B323" s="199">
        <v>6000000</v>
      </c>
      <c r="C323" s="168">
        <f t="shared" si="19"/>
        <v>6300000</v>
      </c>
      <c r="D323" s="168">
        <f t="shared" si="19"/>
        <v>6615000</v>
      </c>
    </row>
    <row r="324" spans="1:4" ht="15.5">
      <c r="A324" s="196" t="s">
        <v>112</v>
      </c>
      <c r="B324" s="196">
        <f>SUM(B325:B329)</f>
        <v>20000000</v>
      </c>
      <c r="C324" s="166">
        <f t="shared" si="19"/>
        <v>21000000</v>
      </c>
      <c r="D324" s="166">
        <f t="shared" si="19"/>
        <v>22050000</v>
      </c>
    </row>
    <row r="325" spans="1:4" ht="15.5">
      <c r="A325" s="199" t="s">
        <v>113</v>
      </c>
      <c r="B325" s="199">
        <v>2500000</v>
      </c>
      <c r="C325" s="168">
        <f t="shared" si="19"/>
        <v>2625000</v>
      </c>
      <c r="D325" s="168">
        <f t="shared" si="19"/>
        <v>2756250</v>
      </c>
    </row>
    <row r="326" spans="1:4" ht="15.5">
      <c r="A326" s="199" t="s">
        <v>66</v>
      </c>
      <c r="B326" s="199">
        <v>3600000</v>
      </c>
      <c r="C326" s="168">
        <f t="shared" si="19"/>
        <v>3780000</v>
      </c>
      <c r="D326" s="168">
        <f t="shared" si="19"/>
        <v>3969000</v>
      </c>
    </row>
    <row r="327" spans="1:4" ht="15.5">
      <c r="A327" s="199" t="s">
        <v>689</v>
      </c>
      <c r="B327" s="199">
        <v>5900000</v>
      </c>
      <c r="C327" s="168">
        <f t="shared" si="19"/>
        <v>6195000</v>
      </c>
      <c r="D327" s="168">
        <f t="shared" si="19"/>
        <v>6504750</v>
      </c>
    </row>
    <row r="328" spans="1:4" ht="15.5">
      <c r="A328" s="199" t="s">
        <v>142</v>
      </c>
      <c r="B328" s="199">
        <v>5500000</v>
      </c>
      <c r="C328" s="168">
        <f t="shared" si="19"/>
        <v>5775000</v>
      </c>
      <c r="D328" s="168">
        <f t="shared" si="19"/>
        <v>6063750</v>
      </c>
    </row>
    <row r="329" spans="1:4" ht="15.5">
      <c r="A329" s="199" t="s">
        <v>67</v>
      </c>
      <c r="B329" s="199">
        <v>2500000</v>
      </c>
      <c r="C329" s="168">
        <f t="shared" si="19"/>
        <v>2625000</v>
      </c>
      <c r="D329" s="168">
        <f t="shared" si="19"/>
        <v>2756250</v>
      </c>
    </row>
    <row r="330" spans="1:4" ht="15.5">
      <c r="A330" s="200" t="s">
        <v>672</v>
      </c>
      <c r="B330" s="200">
        <v>0</v>
      </c>
      <c r="C330" s="168">
        <f t="shared" si="19"/>
        <v>0</v>
      </c>
      <c r="D330" s="168">
        <f t="shared" si="19"/>
        <v>0</v>
      </c>
    </row>
    <row r="331" spans="1:4" ht="15.5">
      <c r="A331" s="196" t="s">
        <v>727</v>
      </c>
      <c r="B331" s="196">
        <f>B332</f>
        <v>2500000</v>
      </c>
      <c r="C331" s="166">
        <f t="shared" si="19"/>
        <v>2625000</v>
      </c>
      <c r="D331" s="166">
        <f t="shared" si="19"/>
        <v>2756250</v>
      </c>
    </row>
    <row r="332" spans="1:4" ht="15.5">
      <c r="A332" s="195" t="s">
        <v>694</v>
      </c>
      <c r="B332" s="195">
        <v>2500000</v>
      </c>
      <c r="C332" s="168">
        <f t="shared" ref="C332:D350" si="20">B332*1.05</f>
        <v>2625000</v>
      </c>
      <c r="D332" s="168">
        <f t="shared" si="20"/>
        <v>2756250</v>
      </c>
    </row>
    <row r="333" spans="1:4" ht="15.5">
      <c r="A333" s="196" t="s">
        <v>115</v>
      </c>
      <c r="B333" s="196">
        <f>SUM(B334:B337)</f>
        <v>7700000</v>
      </c>
      <c r="C333" s="166">
        <f t="shared" si="20"/>
        <v>8085000</v>
      </c>
      <c r="D333" s="166">
        <f t="shared" si="20"/>
        <v>8489250</v>
      </c>
    </row>
    <row r="334" spans="1:4" ht="15.5">
      <c r="A334" s="199" t="s">
        <v>69</v>
      </c>
      <c r="B334" s="199">
        <v>3000000</v>
      </c>
      <c r="C334" s="168">
        <f t="shared" si="20"/>
        <v>3150000</v>
      </c>
      <c r="D334" s="168">
        <f t="shared" si="20"/>
        <v>3307500</v>
      </c>
    </row>
    <row r="335" spans="1:4" ht="15.5">
      <c r="A335" s="199" t="s">
        <v>70</v>
      </c>
      <c r="B335" s="199">
        <v>2000000</v>
      </c>
      <c r="C335" s="168">
        <f t="shared" si="20"/>
        <v>2100000</v>
      </c>
      <c r="D335" s="168">
        <f t="shared" si="20"/>
        <v>2205000</v>
      </c>
    </row>
    <row r="336" spans="1:4" ht="15.5">
      <c r="A336" s="195" t="s">
        <v>728</v>
      </c>
      <c r="B336" s="195">
        <v>1200000</v>
      </c>
      <c r="C336" s="168">
        <f t="shared" si="20"/>
        <v>1260000</v>
      </c>
      <c r="D336" s="168">
        <f t="shared" si="20"/>
        <v>1323000</v>
      </c>
    </row>
    <row r="337" spans="1:4" ht="15.5">
      <c r="A337" s="199" t="s">
        <v>729</v>
      </c>
      <c r="B337" s="199">
        <v>1500000</v>
      </c>
      <c r="C337" s="168">
        <f t="shared" si="20"/>
        <v>1575000</v>
      </c>
      <c r="D337" s="168">
        <f t="shared" si="20"/>
        <v>1653750</v>
      </c>
    </row>
    <row r="338" spans="1:4" ht="15.5">
      <c r="A338" s="196" t="s">
        <v>730</v>
      </c>
      <c r="B338" s="196">
        <v>0</v>
      </c>
      <c r="C338" s="168">
        <f t="shared" si="20"/>
        <v>0</v>
      </c>
      <c r="D338" s="168">
        <f t="shared" si="20"/>
        <v>0</v>
      </c>
    </row>
    <row r="339" spans="1:4" ht="15.5">
      <c r="A339" s="195" t="s">
        <v>731</v>
      </c>
      <c r="B339" s="195">
        <v>0</v>
      </c>
      <c r="C339" s="168">
        <f t="shared" si="20"/>
        <v>0</v>
      </c>
      <c r="D339" s="168">
        <f t="shared" si="20"/>
        <v>0</v>
      </c>
    </row>
    <row r="340" spans="1:4" ht="15.5">
      <c r="A340" s="195" t="s">
        <v>732</v>
      </c>
      <c r="B340" s="195">
        <v>0</v>
      </c>
      <c r="C340" s="168">
        <f t="shared" si="20"/>
        <v>0</v>
      </c>
      <c r="D340" s="168">
        <f t="shared" si="20"/>
        <v>0</v>
      </c>
    </row>
    <row r="341" spans="1:4" ht="15.5">
      <c r="A341" s="202" t="s">
        <v>346</v>
      </c>
      <c r="B341" s="202"/>
      <c r="C341" s="168">
        <f t="shared" si="20"/>
        <v>0</v>
      </c>
      <c r="D341" s="168">
        <f t="shared" si="20"/>
        <v>0</v>
      </c>
    </row>
    <row r="342" spans="1:4" ht="31">
      <c r="A342" s="175" t="s">
        <v>611</v>
      </c>
      <c r="B342" s="175">
        <f>B333+B331+B324+B322+B316+B313+B309+B298+B295+B292+B282+B274+B270+B267</f>
        <v>300000000.14370078</v>
      </c>
      <c r="C342" s="166">
        <f t="shared" si="20"/>
        <v>315000000.15088582</v>
      </c>
      <c r="D342" s="166">
        <f t="shared" si="20"/>
        <v>330750000.1584301</v>
      </c>
    </row>
    <row r="343" spans="1:4" ht="15.5">
      <c r="A343" s="203" t="s">
        <v>672</v>
      </c>
      <c r="B343" s="203"/>
      <c r="C343" s="168">
        <f t="shared" si="20"/>
        <v>0</v>
      </c>
      <c r="D343" s="168">
        <f t="shared" si="20"/>
        <v>0</v>
      </c>
    </row>
    <row r="344" spans="1:4" ht="15.5">
      <c r="A344" s="203" t="s">
        <v>612</v>
      </c>
      <c r="B344" s="203"/>
      <c r="C344" s="168">
        <f t="shared" si="20"/>
        <v>0</v>
      </c>
      <c r="D344" s="168">
        <f t="shared" si="20"/>
        <v>0</v>
      </c>
    </row>
    <row r="345" spans="1:4" ht="15.5">
      <c r="A345" s="204" t="s">
        <v>734</v>
      </c>
      <c r="B345" s="204">
        <v>50000000</v>
      </c>
      <c r="C345" s="168">
        <f t="shared" si="20"/>
        <v>52500000</v>
      </c>
      <c r="D345" s="168">
        <f t="shared" si="20"/>
        <v>55125000</v>
      </c>
    </row>
    <row r="346" spans="1:4" ht="15.5">
      <c r="A346" s="204" t="s">
        <v>156</v>
      </c>
      <c r="B346" s="204">
        <v>0</v>
      </c>
      <c r="C346" s="168">
        <f t="shared" si="20"/>
        <v>0</v>
      </c>
      <c r="D346" s="168">
        <f t="shared" si="20"/>
        <v>0</v>
      </c>
    </row>
    <row r="347" spans="1:4" ht="31">
      <c r="A347" s="204" t="s">
        <v>694</v>
      </c>
      <c r="B347" s="204">
        <v>0</v>
      </c>
      <c r="C347" s="168">
        <f t="shared" si="20"/>
        <v>0</v>
      </c>
      <c r="D347" s="168">
        <f t="shared" si="20"/>
        <v>0</v>
      </c>
    </row>
    <row r="348" spans="1:4" ht="15.5">
      <c r="A348" s="204" t="s">
        <v>414</v>
      </c>
      <c r="B348" s="204">
        <v>0</v>
      </c>
      <c r="C348" s="168">
        <f t="shared" si="20"/>
        <v>0</v>
      </c>
      <c r="D348" s="168">
        <f t="shared" si="20"/>
        <v>0</v>
      </c>
    </row>
    <row r="349" spans="1:4" ht="15.5">
      <c r="A349" s="203" t="s">
        <v>613</v>
      </c>
      <c r="B349" s="203">
        <f>B345</f>
        <v>50000000</v>
      </c>
      <c r="C349" s="166">
        <f t="shared" si="20"/>
        <v>52500000</v>
      </c>
      <c r="D349" s="166">
        <f t="shared" si="20"/>
        <v>55125000</v>
      </c>
    </row>
    <row r="350" spans="1:4" ht="46.5">
      <c r="A350" s="203" t="s">
        <v>614</v>
      </c>
      <c r="B350" s="203">
        <f>B342+B349</f>
        <v>350000000.14370078</v>
      </c>
      <c r="C350" s="166">
        <f t="shared" si="20"/>
        <v>367500000.15088582</v>
      </c>
      <c r="D350" s="166">
        <f t="shared" si="20"/>
        <v>385875000.1584301</v>
      </c>
    </row>
    <row r="351" spans="1:4" ht="15.5">
      <c r="A351" s="204" t="s">
        <v>672</v>
      </c>
      <c r="B351" s="204"/>
      <c r="C351" s="187">
        <v>0</v>
      </c>
      <c r="D351" s="194"/>
    </row>
    <row r="352" spans="1:4" ht="15.5">
      <c r="A352" s="202" t="s">
        <v>672</v>
      </c>
      <c r="B352" s="202"/>
      <c r="C352" s="185" t="s">
        <v>403</v>
      </c>
      <c r="D352" s="194"/>
    </row>
    <row r="353" spans="1:4" ht="31">
      <c r="A353" s="175" t="s">
        <v>615</v>
      </c>
      <c r="B353" s="175" t="s">
        <v>424</v>
      </c>
      <c r="C353" s="176" t="s">
        <v>12</v>
      </c>
      <c r="D353" s="176" t="s">
        <v>426</v>
      </c>
    </row>
    <row r="354" spans="1:4" ht="15.5">
      <c r="A354" s="201" t="s">
        <v>667</v>
      </c>
      <c r="B354" s="201">
        <v>0</v>
      </c>
      <c r="C354" s="185">
        <v>0</v>
      </c>
      <c r="D354" s="205">
        <v>0</v>
      </c>
    </row>
    <row r="355" spans="1:4" ht="15.5">
      <c r="A355" s="175" t="s">
        <v>29</v>
      </c>
      <c r="B355" s="175">
        <f>SUM(B356:B357)</f>
        <v>2000000</v>
      </c>
      <c r="C355" s="168">
        <f>B355*1.05</f>
        <v>2100000</v>
      </c>
      <c r="D355" s="168">
        <f>C355*1.05</f>
        <v>2205000</v>
      </c>
    </row>
    <row r="356" spans="1:4" ht="15.5">
      <c r="A356" s="201" t="s">
        <v>82</v>
      </c>
      <c r="B356" s="201">
        <v>1500000</v>
      </c>
      <c r="C356" s="168">
        <f t="shared" ref="C356:D387" si="21">B356*1.05</f>
        <v>1575000</v>
      </c>
      <c r="D356" s="168">
        <f t="shared" si="21"/>
        <v>1653750</v>
      </c>
    </row>
    <row r="357" spans="1:4" ht="15.5">
      <c r="A357" s="201" t="s">
        <v>83</v>
      </c>
      <c r="B357" s="201">
        <v>500000</v>
      </c>
      <c r="C357" s="168">
        <f t="shared" si="21"/>
        <v>525000</v>
      </c>
      <c r="D357" s="168">
        <f t="shared" si="21"/>
        <v>551250</v>
      </c>
    </row>
    <row r="358" spans="1:4" ht="15.5">
      <c r="A358" s="175" t="s">
        <v>126</v>
      </c>
      <c r="B358" s="175">
        <f>SUM(B359:B361)</f>
        <v>615000</v>
      </c>
      <c r="C358" s="168">
        <f t="shared" si="21"/>
        <v>645750</v>
      </c>
      <c r="D358" s="168">
        <f t="shared" si="21"/>
        <v>678037.5</v>
      </c>
    </row>
    <row r="359" spans="1:4" ht="31">
      <c r="A359" s="201" t="s">
        <v>84</v>
      </c>
      <c r="B359" s="201">
        <v>300000</v>
      </c>
      <c r="C359" s="168">
        <f t="shared" si="21"/>
        <v>315000</v>
      </c>
      <c r="D359" s="168">
        <f t="shared" si="21"/>
        <v>330750</v>
      </c>
    </row>
    <row r="360" spans="1:4" ht="15.5">
      <c r="A360" s="201" t="s">
        <v>85</v>
      </c>
      <c r="B360" s="201">
        <v>300000</v>
      </c>
      <c r="C360" s="168">
        <f t="shared" si="21"/>
        <v>315000</v>
      </c>
      <c r="D360" s="168">
        <f t="shared" si="21"/>
        <v>330750</v>
      </c>
    </row>
    <row r="361" spans="1:4" ht="15.5">
      <c r="A361" s="201" t="s">
        <v>35</v>
      </c>
      <c r="B361" s="201">
        <v>15000</v>
      </c>
      <c r="C361" s="168">
        <f t="shared" si="21"/>
        <v>15750</v>
      </c>
      <c r="D361" s="168">
        <f t="shared" si="21"/>
        <v>16537.5</v>
      </c>
    </row>
    <row r="362" spans="1:4" ht="31">
      <c r="A362" s="175" t="s">
        <v>36</v>
      </c>
      <c r="B362" s="175">
        <f>SUM(B363:B365)</f>
        <v>1300000</v>
      </c>
      <c r="C362" s="168">
        <f t="shared" si="21"/>
        <v>1365000</v>
      </c>
      <c r="D362" s="168">
        <f t="shared" si="21"/>
        <v>1433250</v>
      </c>
    </row>
    <row r="363" spans="1:4" ht="31">
      <c r="A363" s="201" t="s">
        <v>86</v>
      </c>
      <c r="B363" s="201">
        <v>200000</v>
      </c>
      <c r="C363" s="168">
        <f t="shared" si="21"/>
        <v>210000</v>
      </c>
      <c r="D363" s="168">
        <f t="shared" si="21"/>
        <v>220500</v>
      </c>
    </row>
    <row r="364" spans="1:4" ht="15.5">
      <c r="A364" s="201" t="s">
        <v>87</v>
      </c>
      <c r="B364" s="201">
        <v>200000</v>
      </c>
      <c r="C364" s="168">
        <f t="shared" si="21"/>
        <v>210000</v>
      </c>
      <c r="D364" s="168">
        <f t="shared" si="21"/>
        <v>220500</v>
      </c>
    </row>
    <row r="365" spans="1:4" ht="15.5">
      <c r="A365" s="201" t="s">
        <v>88</v>
      </c>
      <c r="B365" s="201">
        <v>900000</v>
      </c>
      <c r="C365" s="168">
        <f t="shared" si="21"/>
        <v>945000</v>
      </c>
      <c r="D365" s="168">
        <f t="shared" si="21"/>
        <v>992250</v>
      </c>
    </row>
    <row r="366" spans="1:4" ht="31">
      <c r="A366" s="201" t="s">
        <v>89</v>
      </c>
      <c r="B366" s="201">
        <v>0</v>
      </c>
      <c r="C366" s="168">
        <f t="shared" si="21"/>
        <v>0</v>
      </c>
      <c r="D366" s="168">
        <f t="shared" si="21"/>
        <v>0</v>
      </c>
    </row>
    <row r="367" spans="1:4" ht="15.5">
      <c r="A367" s="201" t="s">
        <v>90</v>
      </c>
      <c r="B367" s="201">
        <v>0</v>
      </c>
      <c r="C367" s="168">
        <f t="shared" si="21"/>
        <v>0</v>
      </c>
      <c r="D367" s="168">
        <f t="shared" si="21"/>
        <v>0</v>
      </c>
    </row>
    <row r="368" spans="1:4" ht="15.5">
      <c r="A368" s="201" t="s">
        <v>673</v>
      </c>
      <c r="B368" s="201">
        <v>0</v>
      </c>
      <c r="C368" s="168">
        <f t="shared" si="21"/>
        <v>0</v>
      </c>
      <c r="D368" s="168">
        <f t="shared" si="21"/>
        <v>0</v>
      </c>
    </row>
    <row r="369" spans="1:4" ht="15.5">
      <c r="A369" s="201" t="s">
        <v>41</v>
      </c>
      <c r="B369" s="201">
        <v>0</v>
      </c>
      <c r="C369" s="168">
        <f t="shared" si="21"/>
        <v>0</v>
      </c>
      <c r="D369" s="168">
        <f t="shared" si="21"/>
        <v>0</v>
      </c>
    </row>
    <row r="370" spans="1:4" ht="31">
      <c r="A370" s="175" t="s">
        <v>91</v>
      </c>
      <c r="B370" s="175">
        <f>B371</f>
        <v>200000</v>
      </c>
      <c r="C370" s="168">
        <f t="shared" si="21"/>
        <v>210000</v>
      </c>
      <c r="D370" s="168">
        <f t="shared" si="21"/>
        <v>220500</v>
      </c>
    </row>
    <row r="371" spans="1:4" ht="15.5">
      <c r="A371" s="201" t="s">
        <v>44</v>
      </c>
      <c r="B371" s="201">
        <v>200000</v>
      </c>
      <c r="C371" s="168">
        <f t="shared" si="21"/>
        <v>210000</v>
      </c>
      <c r="D371" s="168">
        <f t="shared" si="21"/>
        <v>220500</v>
      </c>
    </row>
    <row r="372" spans="1:4" ht="31">
      <c r="A372" s="201" t="s">
        <v>165</v>
      </c>
      <c r="B372" s="201">
        <v>0</v>
      </c>
      <c r="C372" s="168">
        <f t="shared" si="21"/>
        <v>0</v>
      </c>
      <c r="D372" s="168">
        <f t="shared" si="21"/>
        <v>0</v>
      </c>
    </row>
    <row r="373" spans="1:4" ht="31">
      <c r="A373" s="201" t="s">
        <v>45</v>
      </c>
      <c r="B373" s="201">
        <v>0</v>
      </c>
      <c r="C373" s="168">
        <f t="shared" si="21"/>
        <v>0</v>
      </c>
      <c r="D373" s="168">
        <f t="shared" si="21"/>
        <v>0</v>
      </c>
    </row>
    <row r="374" spans="1:4" ht="15.5">
      <c r="A374" s="201" t="s">
        <v>46</v>
      </c>
      <c r="B374" s="201">
        <v>0</v>
      </c>
      <c r="C374" s="168">
        <f t="shared" si="21"/>
        <v>0</v>
      </c>
      <c r="D374" s="168">
        <f t="shared" si="21"/>
        <v>0</v>
      </c>
    </row>
    <row r="375" spans="1:4" ht="15.5">
      <c r="A375" s="201" t="s">
        <v>718</v>
      </c>
      <c r="B375" s="201">
        <v>0</v>
      </c>
      <c r="C375" s="168">
        <f t="shared" si="21"/>
        <v>0</v>
      </c>
      <c r="D375" s="168">
        <f t="shared" si="21"/>
        <v>0</v>
      </c>
    </row>
    <row r="376" spans="1:4" ht="15.5">
      <c r="A376" s="201" t="s">
        <v>719</v>
      </c>
      <c r="B376" s="201">
        <v>0</v>
      </c>
      <c r="C376" s="168">
        <f t="shared" si="21"/>
        <v>0</v>
      </c>
      <c r="D376" s="168">
        <f t="shared" si="21"/>
        <v>0</v>
      </c>
    </row>
    <row r="377" spans="1:4" ht="15.5">
      <c r="A377" s="201" t="s">
        <v>47</v>
      </c>
      <c r="B377" s="201">
        <v>0</v>
      </c>
      <c r="C377" s="168">
        <f t="shared" si="21"/>
        <v>0</v>
      </c>
      <c r="D377" s="168">
        <f t="shared" si="21"/>
        <v>0</v>
      </c>
    </row>
    <row r="378" spans="1:4" ht="15.5">
      <c r="A378" s="201" t="s">
        <v>93</v>
      </c>
      <c r="B378" s="201">
        <v>0</v>
      </c>
      <c r="C378" s="168">
        <f t="shared" si="21"/>
        <v>0</v>
      </c>
      <c r="D378" s="168">
        <f t="shared" si="21"/>
        <v>0</v>
      </c>
    </row>
    <row r="379" spans="1:4" ht="15.5">
      <c r="A379" s="201" t="s">
        <v>94</v>
      </c>
      <c r="B379" s="201">
        <v>0</v>
      </c>
      <c r="C379" s="168">
        <f t="shared" si="21"/>
        <v>0</v>
      </c>
      <c r="D379" s="168">
        <f t="shared" si="21"/>
        <v>0</v>
      </c>
    </row>
    <row r="380" spans="1:4" ht="15.5">
      <c r="A380" s="175" t="s">
        <v>49</v>
      </c>
      <c r="B380" s="175">
        <f>SUM(B381:B382)</f>
        <v>1700000</v>
      </c>
      <c r="C380" s="168">
        <f t="shared" si="21"/>
        <v>1785000</v>
      </c>
      <c r="D380" s="168">
        <f t="shared" si="21"/>
        <v>1874250</v>
      </c>
    </row>
    <row r="381" spans="1:4" ht="31">
      <c r="A381" s="201" t="s">
        <v>675</v>
      </c>
      <c r="B381" s="201">
        <v>1000000</v>
      </c>
      <c r="C381" s="168">
        <f t="shared" si="21"/>
        <v>1050000</v>
      </c>
      <c r="D381" s="168">
        <f t="shared" si="21"/>
        <v>1102500</v>
      </c>
    </row>
    <row r="382" spans="1:4" ht="31">
      <c r="A382" s="201" t="s">
        <v>134</v>
      </c>
      <c r="B382" s="201">
        <v>700000</v>
      </c>
      <c r="C382" s="168">
        <f t="shared" si="21"/>
        <v>735000</v>
      </c>
      <c r="D382" s="168">
        <f t="shared" si="21"/>
        <v>771750</v>
      </c>
    </row>
    <row r="383" spans="1:4" ht="15.5">
      <c r="A383" s="175" t="s">
        <v>135</v>
      </c>
      <c r="B383" s="175">
        <f>B384</f>
        <v>700000</v>
      </c>
      <c r="C383" s="166">
        <f t="shared" si="21"/>
        <v>735000</v>
      </c>
      <c r="D383" s="166">
        <f t="shared" si="21"/>
        <v>771750</v>
      </c>
    </row>
    <row r="384" spans="1:4" ht="15.5">
      <c r="A384" s="201" t="s">
        <v>54</v>
      </c>
      <c r="B384" s="201">
        <v>700000</v>
      </c>
      <c r="C384" s="168">
        <f t="shared" si="21"/>
        <v>735000</v>
      </c>
      <c r="D384" s="168">
        <f t="shared" si="21"/>
        <v>771750</v>
      </c>
    </row>
    <row r="385" spans="1:4" ht="15.5">
      <c r="A385" s="175" t="s">
        <v>677</v>
      </c>
      <c r="B385" s="175">
        <f>SUM(B386:B394)</f>
        <v>28900000</v>
      </c>
      <c r="C385" s="168">
        <f t="shared" si="21"/>
        <v>30345000</v>
      </c>
      <c r="D385" s="168">
        <f t="shared" si="21"/>
        <v>31862250</v>
      </c>
    </row>
    <row r="386" spans="1:4" ht="15.5">
      <c r="A386" s="201" t="s">
        <v>678</v>
      </c>
      <c r="B386" s="201">
        <v>9000000</v>
      </c>
      <c r="C386" s="168">
        <f t="shared" si="21"/>
        <v>9450000</v>
      </c>
      <c r="D386" s="168">
        <f t="shared" si="21"/>
        <v>9922500</v>
      </c>
    </row>
    <row r="387" spans="1:4" ht="31">
      <c r="A387" s="201" t="s">
        <v>679</v>
      </c>
      <c r="B387" s="201">
        <v>6000000</v>
      </c>
      <c r="C387" s="168">
        <f t="shared" si="21"/>
        <v>6300000</v>
      </c>
      <c r="D387" s="168">
        <f t="shared" si="21"/>
        <v>6615000</v>
      </c>
    </row>
    <row r="388" spans="1:4" ht="15.5">
      <c r="A388" s="201" t="s">
        <v>137</v>
      </c>
      <c r="B388" s="201">
        <v>3000000</v>
      </c>
      <c r="C388" s="168">
        <f t="shared" ref="C388:D419" si="22">B388*1.05</f>
        <v>3150000</v>
      </c>
      <c r="D388" s="168">
        <f t="shared" si="22"/>
        <v>3307500</v>
      </c>
    </row>
    <row r="389" spans="1:4" ht="15.5">
      <c r="A389" s="201" t="s">
        <v>680</v>
      </c>
      <c r="B389" s="201">
        <v>500000</v>
      </c>
      <c r="C389" s="168">
        <f t="shared" si="22"/>
        <v>525000</v>
      </c>
      <c r="D389" s="168">
        <f t="shared" si="22"/>
        <v>551250</v>
      </c>
    </row>
    <row r="390" spans="1:4" ht="31">
      <c r="A390" s="201" t="s">
        <v>681</v>
      </c>
      <c r="B390" s="201">
        <v>4800000</v>
      </c>
      <c r="C390" s="168">
        <f t="shared" si="22"/>
        <v>5040000</v>
      </c>
      <c r="D390" s="168">
        <f t="shared" si="22"/>
        <v>5292000</v>
      </c>
    </row>
    <row r="391" spans="1:4" ht="15.5">
      <c r="A391" s="201" t="s">
        <v>682</v>
      </c>
      <c r="B391" s="201">
        <v>3500000</v>
      </c>
      <c r="C391" s="168">
        <f t="shared" si="22"/>
        <v>3675000</v>
      </c>
      <c r="D391" s="168">
        <f t="shared" si="22"/>
        <v>3858750</v>
      </c>
    </row>
    <row r="392" spans="1:4" ht="15.5">
      <c r="A392" s="201" t="s">
        <v>720</v>
      </c>
      <c r="B392" s="201">
        <v>300000</v>
      </c>
      <c r="C392" s="168">
        <f t="shared" si="22"/>
        <v>315000</v>
      </c>
      <c r="D392" s="168">
        <f t="shared" si="22"/>
        <v>330750</v>
      </c>
    </row>
    <row r="393" spans="1:4" ht="15.5">
      <c r="A393" s="201" t="s">
        <v>683</v>
      </c>
      <c r="B393" s="201">
        <v>800000</v>
      </c>
      <c r="C393" s="168">
        <f t="shared" si="22"/>
        <v>840000</v>
      </c>
      <c r="D393" s="168">
        <f t="shared" si="22"/>
        <v>882000</v>
      </c>
    </row>
    <row r="394" spans="1:4" ht="15.5">
      <c r="A394" s="201" t="s">
        <v>722</v>
      </c>
      <c r="B394" s="201">
        <v>1000000</v>
      </c>
      <c r="C394" s="168">
        <f t="shared" si="22"/>
        <v>1050000</v>
      </c>
      <c r="D394" s="168">
        <f t="shared" si="22"/>
        <v>1102500</v>
      </c>
    </row>
    <row r="395" spans="1:4" ht="31">
      <c r="A395" s="175" t="s">
        <v>55</v>
      </c>
      <c r="B395" s="175">
        <f>SUM(B396:B398)</f>
        <v>2400000</v>
      </c>
      <c r="C395" s="168">
        <f t="shared" si="22"/>
        <v>2520000</v>
      </c>
      <c r="D395" s="168">
        <f t="shared" si="22"/>
        <v>2646000</v>
      </c>
    </row>
    <row r="396" spans="1:4" ht="31">
      <c r="A396" s="201" t="s">
        <v>685</v>
      </c>
      <c r="B396" s="201">
        <v>500000</v>
      </c>
      <c r="C396" s="168">
        <f t="shared" si="22"/>
        <v>525000</v>
      </c>
      <c r="D396" s="168">
        <f t="shared" si="22"/>
        <v>551250</v>
      </c>
    </row>
    <row r="397" spans="1:4" ht="31">
      <c r="A397" s="201" t="s">
        <v>167</v>
      </c>
      <c r="B397" s="201">
        <v>500000</v>
      </c>
      <c r="C397" s="168">
        <f t="shared" si="22"/>
        <v>525000</v>
      </c>
      <c r="D397" s="168">
        <f t="shared" si="22"/>
        <v>551250</v>
      </c>
    </row>
    <row r="398" spans="1:4" ht="31">
      <c r="A398" s="201" t="s">
        <v>57</v>
      </c>
      <c r="B398" s="201">
        <v>1400000</v>
      </c>
      <c r="C398" s="168">
        <f t="shared" si="22"/>
        <v>1470000</v>
      </c>
      <c r="D398" s="168">
        <f t="shared" si="22"/>
        <v>1543500</v>
      </c>
    </row>
    <row r="399" spans="1:4" ht="15.5">
      <c r="A399" s="175" t="s">
        <v>58</v>
      </c>
      <c r="B399" s="175">
        <f>SUM(B400:B401)</f>
        <v>2500000</v>
      </c>
      <c r="C399" s="168">
        <f t="shared" si="22"/>
        <v>2625000</v>
      </c>
      <c r="D399" s="168">
        <f t="shared" si="22"/>
        <v>2756250</v>
      </c>
    </row>
    <row r="400" spans="1:4" ht="31">
      <c r="A400" s="201" t="s">
        <v>102</v>
      </c>
      <c r="B400" s="201">
        <v>1500000</v>
      </c>
      <c r="C400" s="168">
        <f t="shared" si="22"/>
        <v>1575000</v>
      </c>
      <c r="D400" s="168">
        <f t="shared" si="22"/>
        <v>1653750</v>
      </c>
    </row>
    <row r="401" spans="1:4" ht="31">
      <c r="A401" s="201" t="s">
        <v>723</v>
      </c>
      <c r="B401" s="201">
        <v>1000000</v>
      </c>
      <c r="C401" s="168">
        <f t="shared" si="22"/>
        <v>1050000</v>
      </c>
      <c r="D401" s="168">
        <f t="shared" si="22"/>
        <v>1102500</v>
      </c>
    </row>
    <row r="402" spans="1:4" ht="15.5">
      <c r="A402" s="175" t="s">
        <v>60</v>
      </c>
      <c r="B402" s="175">
        <f>SUM(B403:B408)</f>
        <v>2800000</v>
      </c>
      <c r="C402" s="168">
        <f t="shared" si="22"/>
        <v>2940000</v>
      </c>
      <c r="D402" s="168">
        <f t="shared" si="22"/>
        <v>3087000</v>
      </c>
    </row>
    <row r="403" spans="1:4" ht="15.5">
      <c r="A403" s="201" t="s">
        <v>724</v>
      </c>
      <c r="B403" s="201">
        <v>0</v>
      </c>
      <c r="C403" s="168">
        <f t="shared" si="22"/>
        <v>0</v>
      </c>
      <c r="D403" s="168">
        <f t="shared" si="22"/>
        <v>0</v>
      </c>
    </row>
    <row r="404" spans="1:4" ht="15.5">
      <c r="A404" s="201" t="s">
        <v>725</v>
      </c>
      <c r="B404" s="201">
        <v>1100000</v>
      </c>
      <c r="C404" s="168">
        <f t="shared" si="22"/>
        <v>1155000</v>
      </c>
      <c r="D404" s="168">
        <f t="shared" si="22"/>
        <v>1212750</v>
      </c>
    </row>
    <row r="405" spans="1:4" ht="15.5">
      <c r="A405" s="201" t="s">
        <v>103</v>
      </c>
      <c r="B405" s="201">
        <v>1500000</v>
      </c>
      <c r="C405" s="168">
        <f t="shared" si="22"/>
        <v>1575000</v>
      </c>
      <c r="D405" s="168">
        <f t="shared" si="22"/>
        <v>1653750</v>
      </c>
    </row>
    <row r="406" spans="1:4" ht="31">
      <c r="A406" s="201" t="s">
        <v>61</v>
      </c>
      <c r="B406" s="201">
        <v>200000</v>
      </c>
      <c r="C406" s="168">
        <f t="shared" si="22"/>
        <v>210000</v>
      </c>
      <c r="D406" s="168">
        <f t="shared" si="22"/>
        <v>220500</v>
      </c>
    </row>
    <row r="407" spans="1:4" ht="31">
      <c r="A407" s="201" t="s">
        <v>726</v>
      </c>
      <c r="B407" s="201">
        <v>0</v>
      </c>
      <c r="C407" s="168">
        <f t="shared" si="22"/>
        <v>0</v>
      </c>
      <c r="D407" s="168">
        <f t="shared" si="22"/>
        <v>0</v>
      </c>
    </row>
    <row r="408" spans="1:4" ht="15.5">
      <c r="A408" s="201" t="s">
        <v>717</v>
      </c>
      <c r="B408" s="201">
        <v>0</v>
      </c>
      <c r="C408" s="168">
        <f t="shared" si="22"/>
        <v>0</v>
      </c>
      <c r="D408" s="168">
        <f t="shared" si="22"/>
        <v>0</v>
      </c>
    </row>
    <row r="409" spans="1:4" ht="31">
      <c r="A409" s="175" t="s">
        <v>64</v>
      </c>
      <c r="B409" s="175">
        <f>B410</f>
        <v>100000</v>
      </c>
      <c r="C409" s="168">
        <f t="shared" si="22"/>
        <v>105000</v>
      </c>
      <c r="D409" s="168">
        <f t="shared" si="22"/>
        <v>110250</v>
      </c>
    </row>
    <row r="410" spans="1:4" ht="15.5">
      <c r="A410" s="201" t="s">
        <v>65</v>
      </c>
      <c r="B410" s="201">
        <v>100000</v>
      </c>
      <c r="C410" s="168">
        <f t="shared" si="22"/>
        <v>105000</v>
      </c>
      <c r="D410" s="168">
        <f t="shared" si="22"/>
        <v>110250</v>
      </c>
    </row>
    <row r="411" spans="1:4" ht="15.5">
      <c r="A411" s="175" t="s">
        <v>112</v>
      </c>
      <c r="B411" s="175">
        <f>SUM(B412:B416)</f>
        <v>5150000</v>
      </c>
      <c r="C411" s="168">
        <f t="shared" si="22"/>
        <v>5407500</v>
      </c>
      <c r="D411" s="168">
        <f t="shared" si="22"/>
        <v>5677875</v>
      </c>
    </row>
    <row r="412" spans="1:4" ht="31">
      <c r="A412" s="201" t="s">
        <v>113</v>
      </c>
      <c r="B412" s="201">
        <v>1500000</v>
      </c>
      <c r="C412" s="168">
        <f t="shared" si="22"/>
        <v>1575000</v>
      </c>
      <c r="D412" s="168">
        <f t="shared" si="22"/>
        <v>1653750</v>
      </c>
    </row>
    <row r="413" spans="1:4" ht="31">
      <c r="A413" s="201" t="s">
        <v>66</v>
      </c>
      <c r="B413" s="201">
        <v>150000</v>
      </c>
      <c r="C413" s="168">
        <f t="shared" si="22"/>
        <v>157500</v>
      </c>
      <c r="D413" s="168">
        <f t="shared" si="22"/>
        <v>165375</v>
      </c>
    </row>
    <row r="414" spans="1:4" ht="31">
      <c r="A414" s="201" t="s">
        <v>689</v>
      </c>
      <c r="B414" s="201">
        <v>1500000</v>
      </c>
      <c r="C414" s="168">
        <f t="shared" si="22"/>
        <v>1575000</v>
      </c>
      <c r="D414" s="168">
        <f t="shared" si="22"/>
        <v>1653750</v>
      </c>
    </row>
    <row r="415" spans="1:4" ht="31">
      <c r="A415" s="201" t="s">
        <v>142</v>
      </c>
      <c r="B415" s="201">
        <v>2000000</v>
      </c>
      <c r="C415" s="168">
        <f t="shared" si="22"/>
        <v>2100000</v>
      </c>
      <c r="D415" s="168">
        <f t="shared" si="22"/>
        <v>2205000</v>
      </c>
    </row>
    <row r="416" spans="1:4" ht="31">
      <c r="A416" s="201" t="s">
        <v>67</v>
      </c>
      <c r="B416" s="201">
        <v>0</v>
      </c>
      <c r="C416" s="168">
        <f t="shared" si="22"/>
        <v>0</v>
      </c>
      <c r="D416" s="168">
        <f t="shared" si="22"/>
        <v>0</v>
      </c>
    </row>
    <row r="417" spans="1:4" ht="15.5">
      <c r="A417" s="175" t="s">
        <v>727</v>
      </c>
      <c r="B417" s="175">
        <f>SUM(B418)</f>
        <v>500000</v>
      </c>
      <c r="C417" s="168">
        <f t="shared" si="22"/>
        <v>525000</v>
      </c>
      <c r="D417" s="168">
        <f t="shared" si="22"/>
        <v>551250</v>
      </c>
    </row>
    <row r="418" spans="1:4" ht="31">
      <c r="A418" s="201" t="s">
        <v>694</v>
      </c>
      <c r="B418" s="201">
        <v>500000</v>
      </c>
      <c r="C418" s="168">
        <f t="shared" si="22"/>
        <v>525000</v>
      </c>
      <c r="D418" s="168">
        <f t="shared" si="22"/>
        <v>551250</v>
      </c>
    </row>
    <row r="419" spans="1:4" ht="31">
      <c r="A419" s="175" t="s">
        <v>115</v>
      </c>
      <c r="B419" s="175">
        <f>SUM(B420:B422)</f>
        <v>0</v>
      </c>
      <c r="C419" s="166">
        <f t="shared" si="22"/>
        <v>0</v>
      </c>
      <c r="D419" s="166">
        <f t="shared" si="22"/>
        <v>0</v>
      </c>
    </row>
    <row r="420" spans="1:4" ht="15.5">
      <c r="A420" s="201" t="s">
        <v>69</v>
      </c>
      <c r="B420" s="201">
        <v>0</v>
      </c>
      <c r="C420" s="168">
        <f t="shared" ref="C420:D436" si="23">B420*1.05</f>
        <v>0</v>
      </c>
      <c r="D420" s="168">
        <f t="shared" si="23"/>
        <v>0</v>
      </c>
    </row>
    <row r="421" spans="1:4" ht="31">
      <c r="A421" s="201" t="s">
        <v>70</v>
      </c>
      <c r="B421" s="201">
        <v>0</v>
      </c>
      <c r="C421" s="168">
        <f t="shared" si="23"/>
        <v>0</v>
      </c>
      <c r="D421" s="168">
        <f t="shared" si="23"/>
        <v>0</v>
      </c>
    </row>
    <row r="422" spans="1:4" ht="31">
      <c r="A422" s="201" t="s">
        <v>738</v>
      </c>
      <c r="B422" s="201">
        <v>0</v>
      </c>
      <c r="C422" s="168">
        <f t="shared" si="23"/>
        <v>0</v>
      </c>
      <c r="D422" s="168">
        <f t="shared" si="23"/>
        <v>0</v>
      </c>
    </row>
    <row r="423" spans="1:4" ht="31">
      <c r="A423" s="175" t="s">
        <v>730</v>
      </c>
      <c r="B423" s="175">
        <f>SUM(B424:B426)</f>
        <v>500000</v>
      </c>
      <c r="C423" s="168">
        <f t="shared" si="23"/>
        <v>525000</v>
      </c>
      <c r="D423" s="168">
        <f t="shared" si="23"/>
        <v>551250</v>
      </c>
    </row>
    <row r="424" spans="1:4" ht="31">
      <c r="A424" s="201" t="s">
        <v>731</v>
      </c>
      <c r="B424" s="201">
        <v>0</v>
      </c>
      <c r="C424" s="168">
        <f t="shared" si="23"/>
        <v>0</v>
      </c>
      <c r="D424" s="168">
        <f t="shared" si="23"/>
        <v>0</v>
      </c>
    </row>
    <row r="425" spans="1:4" ht="31">
      <c r="A425" s="201" t="s">
        <v>732</v>
      </c>
      <c r="B425" s="201">
        <v>500000</v>
      </c>
      <c r="C425" s="168">
        <f t="shared" si="23"/>
        <v>525000</v>
      </c>
      <c r="D425" s="168">
        <f t="shared" si="23"/>
        <v>551250</v>
      </c>
    </row>
    <row r="426" spans="1:4" ht="15.5">
      <c r="A426" s="201" t="s">
        <v>733</v>
      </c>
      <c r="B426" s="201">
        <v>0</v>
      </c>
      <c r="C426" s="168">
        <f t="shared" si="23"/>
        <v>0</v>
      </c>
      <c r="D426" s="168">
        <f t="shared" si="23"/>
        <v>0</v>
      </c>
    </row>
    <row r="427" spans="1:4" ht="15.5">
      <c r="A427" s="206" t="s">
        <v>616</v>
      </c>
      <c r="B427" s="206">
        <f>B423+B419+B417+B411+B409+B402+B399+B395+B385+B383+B380+B370+B362+B358+B355</f>
        <v>49365000</v>
      </c>
      <c r="C427" s="166">
        <f t="shared" si="23"/>
        <v>51833250</v>
      </c>
      <c r="D427" s="166">
        <f t="shared" si="23"/>
        <v>54424912.5</v>
      </c>
    </row>
    <row r="428" spans="1:4" ht="15.5">
      <c r="A428" s="201" t="s">
        <v>672</v>
      </c>
      <c r="B428" s="201">
        <v>0</v>
      </c>
      <c r="C428" s="168">
        <f t="shared" si="23"/>
        <v>0</v>
      </c>
      <c r="D428" s="168">
        <f t="shared" si="23"/>
        <v>0</v>
      </c>
    </row>
    <row r="429" spans="1:4" ht="15.5">
      <c r="A429" s="206" t="s">
        <v>612</v>
      </c>
      <c r="B429" s="206"/>
      <c r="C429" s="168">
        <f t="shared" si="23"/>
        <v>0</v>
      </c>
      <c r="D429" s="168">
        <f t="shared" si="23"/>
        <v>0</v>
      </c>
    </row>
    <row r="430" spans="1:4" ht="15.5">
      <c r="A430" s="206" t="s">
        <v>739</v>
      </c>
      <c r="B430" s="206">
        <v>0</v>
      </c>
      <c r="C430" s="168">
        <f t="shared" si="23"/>
        <v>0</v>
      </c>
      <c r="D430" s="168">
        <f t="shared" si="23"/>
        <v>0</v>
      </c>
    </row>
    <row r="431" spans="1:4" ht="15.5">
      <c r="A431" s="206" t="s">
        <v>156</v>
      </c>
      <c r="B431" s="206">
        <v>0</v>
      </c>
      <c r="C431" s="168">
        <f t="shared" si="23"/>
        <v>0</v>
      </c>
      <c r="D431" s="168">
        <f t="shared" si="23"/>
        <v>0</v>
      </c>
    </row>
    <row r="432" spans="1:4" ht="31">
      <c r="A432" s="206" t="s">
        <v>694</v>
      </c>
      <c r="B432" s="206">
        <v>0</v>
      </c>
      <c r="C432" s="168">
        <f t="shared" si="23"/>
        <v>0</v>
      </c>
      <c r="D432" s="168">
        <f t="shared" si="23"/>
        <v>0</v>
      </c>
    </row>
    <row r="433" spans="1:4" ht="15.5">
      <c r="A433" s="206" t="s">
        <v>740</v>
      </c>
      <c r="B433" s="206">
        <v>0</v>
      </c>
      <c r="C433" s="168">
        <f t="shared" si="23"/>
        <v>0</v>
      </c>
      <c r="D433" s="168">
        <f t="shared" si="23"/>
        <v>0</v>
      </c>
    </row>
    <row r="434" spans="1:4" ht="15.5">
      <c r="A434" s="206" t="s">
        <v>741</v>
      </c>
      <c r="B434" s="206">
        <v>0</v>
      </c>
      <c r="C434" s="168">
        <f t="shared" si="23"/>
        <v>0</v>
      </c>
      <c r="D434" s="168">
        <f t="shared" si="23"/>
        <v>0</v>
      </c>
    </row>
    <row r="435" spans="1:4" ht="31">
      <c r="A435" s="206" t="s">
        <v>617</v>
      </c>
      <c r="B435" s="206">
        <v>0</v>
      </c>
      <c r="C435" s="168">
        <f t="shared" si="23"/>
        <v>0</v>
      </c>
      <c r="D435" s="168">
        <f t="shared" si="23"/>
        <v>0</v>
      </c>
    </row>
    <row r="436" spans="1:4" ht="46.5">
      <c r="A436" s="165" t="s">
        <v>618</v>
      </c>
      <c r="B436" s="165">
        <f>B427+B435</f>
        <v>49365000</v>
      </c>
      <c r="C436" s="166">
        <f t="shared" si="23"/>
        <v>51833250</v>
      </c>
      <c r="D436" s="166">
        <f t="shared" si="23"/>
        <v>54424912.5</v>
      </c>
    </row>
    <row r="437" spans="1:4" ht="15.5">
      <c r="A437" s="171" t="s">
        <v>672</v>
      </c>
      <c r="B437" s="171"/>
      <c r="C437" s="168">
        <f>SUM(B437:B437)</f>
        <v>0</v>
      </c>
      <c r="D437" s="194"/>
    </row>
    <row r="438" spans="1:4" ht="31">
      <c r="A438" s="175" t="s">
        <v>619</v>
      </c>
      <c r="B438" s="175" t="s">
        <v>424</v>
      </c>
      <c r="C438" s="176" t="s">
        <v>12</v>
      </c>
      <c r="D438" s="176" t="s">
        <v>426</v>
      </c>
    </row>
    <row r="439" spans="1:4" ht="15.5">
      <c r="A439" s="175" t="s">
        <v>620</v>
      </c>
      <c r="B439" s="175"/>
      <c r="C439" s="168">
        <f t="shared" ref="C439:C448" si="24">SUM(B439:B439)</f>
        <v>0</v>
      </c>
      <c r="D439" s="176"/>
    </row>
    <row r="440" spans="1:4" ht="15.5">
      <c r="A440" s="171" t="s">
        <v>666</v>
      </c>
      <c r="B440" s="171">
        <v>0</v>
      </c>
      <c r="C440" s="168">
        <f t="shared" si="24"/>
        <v>0</v>
      </c>
      <c r="D440" s="194"/>
    </row>
    <row r="441" spans="1:4" ht="15.5">
      <c r="A441" s="171" t="s">
        <v>81</v>
      </c>
      <c r="B441" s="171">
        <v>0</v>
      </c>
      <c r="C441" s="168">
        <f t="shared" si="24"/>
        <v>0</v>
      </c>
      <c r="D441" s="194"/>
    </row>
    <row r="442" spans="1:4" ht="15.5">
      <c r="A442" s="165" t="s">
        <v>668</v>
      </c>
      <c r="B442" s="165">
        <v>0</v>
      </c>
      <c r="C442" s="168">
        <f t="shared" si="24"/>
        <v>0</v>
      </c>
      <c r="D442" s="194"/>
    </row>
    <row r="443" spans="1:4" ht="15.5">
      <c r="A443" s="171" t="s">
        <v>712</v>
      </c>
      <c r="B443" s="171">
        <v>0</v>
      </c>
      <c r="C443" s="168">
        <f t="shared" si="24"/>
        <v>0</v>
      </c>
      <c r="D443" s="194"/>
    </row>
    <row r="444" spans="1:4" ht="31">
      <c r="A444" s="171" t="s">
        <v>713</v>
      </c>
      <c r="B444" s="171">
        <v>0</v>
      </c>
      <c r="C444" s="168">
        <f t="shared" si="24"/>
        <v>0</v>
      </c>
      <c r="D444" s="194"/>
    </row>
    <row r="445" spans="1:4" ht="15.5">
      <c r="A445" s="171" t="s">
        <v>714</v>
      </c>
      <c r="B445" s="171">
        <v>0</v>
      </c>
      <c r="C445" s="168">
        <f t="shared" si="24"/>
        <v>0</v>
      </c>
      <c r="D445" s="194"/>
    </row>
    <row r="446" spans="1:4" ht="15.5">
      <c r="A446" s="171" t="s">
        <v>715</v>
      </c>
      <c r="B446" s="171">
        <v>0</v>
      </c>
      <c r="C446" s="168">
        <f t="shared" si="24"/>
        <v>0</v>
      </c>
      <c r="D446" s="194"/>
    </row>
    <row r="447" spans="1:4" ht="31">
      <c r="A447" s="171" t="s">
        <v>716</v>
      </c>
      <c r="B447" s="171">
        <v>0</v>
      </c>
      <c r="C447" s="168">
        <f t="shared" si="24"/>
        <v>0</v>
      </c>
      <c r="D447" s="194"/>
    </row>
    <row r="448" spans="1:4" ht="15.5">
      <c r="A448" s="165" t="s">
        <v>717</v>
      </c>
      <c r="B448" s="165">
        <v>0</v>
      </c>
      <c r="C448" s="168">
        <f t="shared" si="24"/>
        <v>0</v>
      </c>
      <c r="D448" s="194"/>
    </row>
    <row r="449" spans="1:4" ht="15.5">
      <c r="A449" s="196" t="s">
        <v>29</v>
      </c>
      <c r="B449" s="196">
        <f>SUM(B450:B451)</f>
        <v>1200000</v>
      </c>
      <c r="C449" s="166">
        <f>B449*1.05</f>
        <v>1260000</v>
      </c>
      <c r="D449" s="166">
        <f>C449*1.05</f>
        <v>1323000</v>
      </c>
    </row>
    <row r="450" spans="1:4" ht="15.5">
      <c r="A450" s="207" t="s">
        <v>82</v>
      </c>
      <c r="B450" s="207">
        <f>90000*12</f>
        <v>1080000</v>
      </c>
      <c r="C450" s="168">
        <f t="shared" ref="C450:D481" si="25">B450*1.05</f>
        <v>1134000</v>
      </c>
      <c r="D450" s="168">
        <f t="shared" si="25"/>
        <v>1190700</v>
      </c>
    </row>
    <row r="451" spans="1:4" ht="15.5">
      <c r="A451" s="207" t="s">
        <v>83</v>
      </c>
      <c r="B451" s="207">
        <f>10000*12</f>
        <v>120000</v>
      </c>
      <c r="C451" s="168">
        <f t="shared" si="25"/>
        <v>126000</v>
      </c>
      <c r="D451" s="168">
        <f t="shared" si="25"/>
        <v>132300</v>
      </c>
    </row>
    <row r="452" spans="1:4" ht="15.5">
      <c r="A452" s="196" t="s">
        <v>126</v>
      </c>
      <c r="B452" s="196">
        <f>SUM(B453:B455)</f>
        <v>328478</v>
      </c>
      <c r="C452" s="166">
        <f t="shared" si="25"/>
        <v>344901.9</v>
      </c>
      <c r="D452" s="166">
        <f t="shared" si="25"/>
        <v>362146.99500000005</v>
      </c>
    </row>
    <row r="453" spans="1:4" ht="15.5">
      <c r="A453" s="207" t="s">
        <v>84</v>
      </c>
      <c r="B453" s="207">
        <f>15000*12</f>
        <v>180000</v>
      </c>
      <c r="C453" s="168">
        <f t="shared" si="25"/>
        <v>189000</v>
      </c>
      <c r="D453" s="168">
        <f t="shared" si="25"/>
        <v>198450</v>
      </c>
    </row>
    <row r="454" spans="1:4" ht="15.5">
      <c r="A454" s="207" t="s">
        <v>85</v>
      </c>
      <c r="B454" s="207">
        <f>8000*12</f>
        <v>96000</v>
      </c>
      <c r="C454" s="168">
        <f t="shared" si="25"/>
        <v>100800</v>
      </c>
      <c r="D454" s="168">
        <f t="shared" si="25"/>
        <v>105840</v>
      </c>
    </row>
    <row r="455" spans="1:4" ht="15.5">
      <c r="A455" s="207" t="s">
        <v>35</v>
      </c>
      <c r="B455" s="207">
        <v>52478</v>
      </c>
      <c r="C455" s="168">
        <f t="shared" si="25"/>
        <v>55101.9</v>
      </c>
      <c r="D455" s="168">
        <f t="shared" si="25"/>
        <v>57856.995000000003</v>
      </c>
    </row>
    <row r="456" spans="1:4" ht="15.5">
      <c r="A456" s="196" t="s">
        <v>36</v>
      </c>
      <c r="B456" s="196">
        <f>SUM(B457:B459)</f>
        <v>1520000</v>
      </c>
      <c r="C456" s="166">
        <f t="shared" si="25"/>
        <v>1596000</v>
      </c>
      <c r="D456" s="166">
        <f t="shared" si="25"/>
        <v>1675800</v>
      </c>
    </row>
    <row r="457" spans="1:4" ht="15.5">
      <c r="A457" s="207" t="s">
        <v>86</v>
      </c>
      <c r="B457" s="207">
        <f>2*5*52*1000</f>
        <v>520000</v>
      </c>
      <c r="C457" s="168">
        <f t="shared" si="25"/>
        <v>546000</v>
      </c>
      <c r="D457" s="168">
        <f t="shared" si="25"/>
        <v>573300</v>
      </c>
    </row>
    <row r="458" spans="1:4" ht="15.5">
      <c r="A458" s="207" t="s">
        <v>87</v>
      </c>
      <c r="B458" s="207">
        <v>500000</v>
      </c>
      <c r="C458" s="168">
        <f t="shared" si="25"/>
        <v>525000</v>
      </c>
      <c r="D458" s="168">
        <f t="shared" si="25"/>
        <v>551250</v>
      </c>
    </row>
    <row r="459" spans="1:4" ht="15.5">
      <c r="A459" s="207" t="s">
        <v>88</v>
      </c>
      <c r="B459" s="207">
        <v>500000</v>
      </c>
      <c r="C459" s="168">
        <f t="shared" si="25"/>
        <v>525000</v>
      </c>
      <c r="D459" s="168">
        <f t="shared" si="25"/>
        <v>551250</v>
      </c>
    </row>
    <row r="460" spans="1:4" ht="15.5">
      <c r="A460" s="196" t="s">
        <v>89</v>
      </c>
      <c r="B460" s="196">
        <v>0</v>
      </c>
      <c r="C460" s="168">
        <f t="shared" si="25"/>
        <v>0</v>
      </c>
      <c r="D460" s="168">
        <f t="shared" si="25"/>
        <v>0</v>
      </c>
    </row>
    <row r="461" spans="1:4" ht="15.5">
      <c r="A461" s="195" t="s">
        <v>90</v>
      </c>
      <c r="B461" s="195">
        <v>0</v>
      </c>
      <c r="C461" s="168">
        <f t="shared" si="25"/>
        <v>0</v>
      </c>
      <c r="D461" s="168">
        <f t="shared" si="25"/>
        <v>0</v>
      </c>
    </row>
    <row r="462" spans="1:4" ht="15.5">
      <c r="A462" s="195" t="s">
        <v>673</v>
      </c>
      <c r="B462" s="195">
        <v>0</v>
      </c>
      <c r="C462" s="168">
        <f t="shared" si="25"/>
        <v>0</v>
      </c>
      <c r="D462" s="168">
        <f t="shared" si="25"/>
        <v>0</v>
      </c>
    </row>
    <row r="463" spans="1:4" ht="15.5">
      <c r="A463" s="195" t="s">
        <v>41</v>
      </c>
      <c r="B463" s="195">
        <v>0</v>
      </c>
      <c r="C463" s="168">
        <f t="shared" si="25"/>
        <v>0</v>
      </c>
      <c r="D463" s="168">
        <f t="shared" si="25"/>
        <v>0</v>
      </c>
    </row>
    <row r="464" spans="1:4" ht="15.5">
      <c r="A464" s="196" t="s">
        <v>91</v>
      </c>
      <c r="B464" s="196">
        <f>B465</f>
        <v>92807</v>
      </c>
      <c r="C464" s="166">
        <f t="shared" si="25"/>
        <v>97447.35</v>
      </c>
      <c r="D464" s="166">
        <f t="shared" si="25"/>
        <v>102319.71750000001</v>
      </c>
    </row>
    <row r="465" spans="1:4" ht="15.5">
      <c r="A465" s="207" t="s">
        <v>44</v>
      </c>
      <c r="B465" s="207">
        <v>92807</v>
      </c>
      <c r="C465" s="168">
        <f t="shared" si="25"/>
        <v>97447.35</v>
      </c>
      <c r="D465" s="168">
        <f t="shared" si="25"/>
        <v>102319.71750000001</v>
      </c>
    </row>
    <row r="466" spans="1:4" ht="15.5">
      <c r="A466" s="195" t="s">
        <v>165</v>
      </c>
      <c r="B466" s="195">
        <v>0</v>
      </c>
      <c r="C466" s="168">
        <f t="shared" si="25"/>
        <v>0</v>
      </c>
      <c r="D466" s="168">
        <f t="shared" si="25"/>
        <v>0</v>
      </c>
    </row>
    <row r="467" spans="1:4" ht="15.5">
      <c r="A467" s="195" t="s">
        <v>45</v>
      </c>
      <c r="B467" s="195">
        <v>0</v>
      </c>
      <c r="C467" s="168">
        <f t="shared" si="25"/>
        <v>0</v>
      </c>
      <c r="D467" s="168">
        <f t="shared" si="25"/>
        <v>0</v>
      </c>
    </row>
    <row r="468" spans="1:4" ht="15.5">
      <c r="A468" s="201" t="s">
        <v>46</v>
      </c>
      <c r="B468" s="201"/>
      <c r="C468" s="168">
        <f t="shared" si="25"/>
        <v>0</v>
      </c>
      <c r="D468" s="168">
        <f t="shared" si="25"/>
        <v>0</v>
      </c>
    </row>
    <row r="469" spans="1:4" ht="15.5">
      <c r="A469" s="196" t="s">
        <v>718</v>
      </c>
      <c r="B469" s="196">
        <v>0</v>
      </c>
      <c r="C469" s="166">
        <f t="shared" si="25"/>
        <v>0</v>
      </c>
      <c r="D469" s="166">
        <f t="shared" si="25"/>
        <v>0</v>
      </c>
    </row>
    <row r="470" spans="1:4" ht="15.5">
      <c r="A470" s="195" t="s">
        <v>719</v>
      </c>
      <c r="B470" s="195">
        <v>0</v>
      </c>
      <c r="C470" s="168">
        <f t="shared" si="25"/>
        <v>0</v>
      </c>
      <c r="D470" s="168">
        <f t="shared" si="25"/>
        <v>0</v>
      </c>
    </row>
    <row r="471" spans="1:4" ht="15.5">
      <c r="A471" s="196" t="s">
        <v>47</v>
      </c>
      <c r="B471" s="196">
        <v>0</v>
      </c>
      <c r="C471" s="166">
        <f t="shared" si="25"/>
        <v>0</v>
      </c>
      <c r="D471" s="166">
        <f t="shared" si="25"/>
        <v>0</v>
      </c>
    </row>
    <row r="472" spans="1:4" ht="15.5">
      <c r="A472" s="195" t="s">
        <v>93</v>
      </c>
      <c r="B472" s="195"/>
      <c r="C472" s="168">
        <f t="shared" si="25"/>
        <v>0</v>
      </c>
      <c r="D472" s="168">
        <f t="shared" si="25"/>
        <v>0</v>
      </c>
    </row>
    <row r="473" spans="1:4" ht="15.5">
      <c r="A473" s="195" t="s">
        <v>94</v>
      </c>
      <c r="B473" s="195"/>
      <c r="C473" s="168">
        <f t="shared" si="25"/>
        <v>0</v>
      </c>
      <c r="D473" s="168">
        <f t="shared" si="25"/>
        <v>0</v>
      </c>
    </row>
    <row r="474" spans="1:4" ht="15.5">
      <c r="A474" s="196" t="s">
        <v>49</v>
      </c>
      <c r="B474" s="196">
        <f>SUM(B475:B476)</f>
        <v>1720000</v>
      </c>
      <c r="C474" s="166">
        <f t="shared" si="25"/>
        <v>1806000</v>
      </c>
      <c r="D474" s="166">
        <f t="shared" si="25"/>
        <v>1896300</v>
      </c>
    </row>
    <row r="475" spans="1:4" ht="15.5">
      <c r="A475" s="207" t="s">
        <v>675</v>
      </c>
      <c r="B475" s="207">
        <f>120000+40000+60000+60000+180000+260000</f>
        <v>720000</v>
      </c>
      <c r="C475" s="168">
        <f t="shared" si="25"/>
        <v>756000</v>
      </c>
      <c r="D475" s="168">
        <f t="shared" si="25"/>
        <v>793800</v>
      </c>
    </row>
    <row r="476" spans="1:4" ht="15.5">
      <c r="A476" s="207" t="s">
        <v>134</v>
      </c>
      <c r="B476" s="207">
        <v>1000000</v>
      </c>
      <c r="C476" s="168">
        <f t="shared" si="25"/>
        <v>1050000</v>
      </c>
      <c r="D476" s="168">
        <f t="shared" si="25"/>
        <v>1102500</v>
      </c>
    </row>
    <row r="477" spans="1:4" ht="15.5">
      <c r="A477" s="175" t="s">
        <v>135</v>
      </c>
      <c r="B477" s="175"/>
      <c r="C477" s="166">
        <f t="shared" si="25"/>
        <v>0</v>
      </c>
      <c r="D477" s="166">
        <f t="shared" si="25"/>
        <v>0</v>
      </c>
    </row>
    <row r="478" spans="1:4" ht="15.5">
      <c r="A478" s="201" t="s">
        <v>54</v>
      </c>
      <c r="B478" s="201"/>
      <c r="C478" s="168">
        <f t="shared" si="25"/>
        <v>0</v>
      </c>
      <c r="D478" s="168">
        <f t="shared" si="25"/>
        <v>0</v>
      </c>
    </row>
    <row r="479" spans="1:4" ht="15.5">
      <c r="A479" s="196" t="s">
        <v>677</v>
      </c>
      <c r="B479" s="196">
        <f>SUM(B480:B489)</f>
        <v>18531767</v>
      </c>
      <c r="C479" s="166">
        <f t="shared" si="25"/>
        <v>19458355.350000001</v>
      </c>
      <c r="D479" s="166">
        <f t="shared" si="25"/>
        <v>20431273.117500003</v>
      </c>
    </row>
    <row r="480" spans="1:4" ht="15.5">
      <c r="A480" s="207" t="s">
        <v>678</v>
      </c>
      <c r="B480" s="207">
        <v>5000000</v>
      </c>
      <c r="C480" s="168">
        <f t="shared" si="25"/>
        <v>5250000</v>
      </c>
      <c r="D480" s="168">
        <f t="shared" si="25"/>
        <v>5512500</v>
      </c>
    </row>
    <row r="481" spans="1:4" ht="15.5">
      <c r="A481" s="207" t="s">
        <v>679</v>
      </c>
      <c r="B481" s="207">
        <v>5000000</v>
      </c>
      <c r="C481" s="168">
        <f t="shared" si="25"/>
        <v>5250000</v>
      </c>
      <c r="D481" s="168">
        <f t="shared" si="25"/>
        <v>5512500</v>
      </c>
    </row>
    <row r="482" spans="1:4" ht="15.5">
      <c r="A482" s="207" t="s">
        <v>137</v>
      </c>
      <c r="B482" s="207">
        <v>100000</v>
      </c>
      <c r="C482" s="168">
        <f t="shared" ref="C482:D512" si="26">B482*1.05</f>
        <v>105000</v>
      </c>
      <c r="D482" s="168">
        <f t="shared" si="26"/>
        <v>110250</v>
      </c>
    </row>
    <row r="483" spans="1:4" ht="15.5">
      <c r="A483" s="207" t="s">
        <v>680</v>
      </c>
      <c r="B483" s="207">
        <v>276843</v>
      </c>
      <c r="C483" s="168">
        <f t="shared" si="26"/>
        <v>290685.15000000002</v>
      </c>
      <c r="D483" s="168">
        <f t="shared" si="26"/>
        <v>305219.40750000003</v>
      </c>
    </row>
    <row r="484" spans="1:4" ht="15.5">
      <c r="A484" s="207" t="s">
        <v>681</v>
      </c>
      <c r="B484" s="207">
        <f>500000*4</f>
        <v>2000000</v>
      </c>
      <c r="C484" s="168">
        <f t="shared" si="26"/>
        <v>2100000</v>
      </c>
      <c r="D484" s="168">
        <f t="shared" si="26"/>
        <v>2205000</v>
      </c>
    </row>
    <row r="485" spans="1:4" ht="15.5">
      <c r="A485" s="207" t="s">
        <v>682</v>
      </c>
      <c r="B485" s="207">
        <v>5000000</v>
      </c>
      <c r="C485" s="168">
        <f t="shared" si="26"/>
        <v>5250000</v>
      </c>
      <c r="D485" s="168">
        <f t="shared" si="26"/>
        <v>5512500</v>
      </c>
    </row>
    <row r="486" spans="1:4" ht="15.5">
      <c r="A486" s="207" t="s">
        <v>720</v>
      </c>
      <c r="B486" s="207">
        <v>280502</v>
      </c>
      <c r="C486" s="168">
        <f t="shared" si="26"/>
        <v>294527.10000000003</v>
      </c>
      <c r="D486" s="168">
        <f t="shared" si="26"/>
        <v>309253.45500000007</v>
      </c>
    </row>
    <row r="487" spans="1:4" ht="15.5">
      <c r="A487" s="202" t="s">
        <v>721</v>
      </c>
      <c r="B487" s="202">
        <v>0</v>
      </c>
      <c r="C487" s="168">
        <f t="shared" si="26"/>
        <v>0</v>
      </c>
      <c r="D487" s="168">
        <f t="shared" si="26"/>
        <v>0</v>
      </c>
    </row>
    <row r="488" spans="1:4" ht="15.5">
      <c r="A488" s="207" t="s">
        <v>683</v>
      </c>
      <c r="B488" s="207">
        <v>426843</v>
      </c>
      <c r="C488" s="168">
        <f t="shared" si="26"/>
        <v>448185.15</v>
      </c>
      <c r="D488" s="168">
        <f t="shared" si="26"/>
        <v>470594.40750000003</v>
      </c>
    </row>
    <row r="489" spans="1:4" ht="15.5">
      <c r="A489" s="207" t="s">
        <v>722</v>
      </c>
      <c r="B489" s="207">
        <v>447579</v>
      </c>
      <c r="C489" s="168">
        <f t="shared" si="26"/>
        <v>469957.95</v>
      </c>
      <c r="D489" s="168">
        <f t="shared" si="26"/>
        <v>493455.84750000003</v>
      </c>
    </row>
    <row r="490" spans="1:4" ht="15.5">
      <c r="A490" s="196" t="s">
        <v>55</v>
      </c>
      <c r="B490" s="196">
        <f>SUM(B491:B493)</f>
        <v>1400000</v>
      </c>
      <c r="C490" s="166">
        <f t="shared" si="26"/>
        <v>1470000</v>
      </c>
      <c r="D490" s="166">
        <f t="shared" si="26"/>
        <v>1543500</v>
      </c>
    </row>
    <row r="491" spans="1:4" ht="15.5">
      <c r="A491" s="207" t="s">
        <v>685</v>
      </c>
      <c r="B491" s="207">
        <f>150000*4</f>
        <v>600000</v>
      </c>
      <c r="C491" s="168">
        <f t="shared" si="26"/>
        <v>630000</v>
      </c>
      <c r="D491" s="168">
        <f t="shared" si="26"/>
        <v>661500</v>
      </c>
    </row>
    <row r="492" spans="1:4" ht="15.5">
      <c r="A492" s="207" t="s">
        <v>167</v>
      </c>
      <c r="B492" s="207">
        <f t="shared" ref="B492:B496" si="27">100000*4</f>
        <v>400000</v>
      </c>
      <c r="C492" s="168">
        <f t="shared" si="26"/>
        <v>420000</v>
      </c>
      <c r="D492" s="168">
        <f t="shared" si="26"/>
        <v>441000</v>
      </c>
    </row>
    <row r="493" spans="1:4" ht="15.5">
      <c r="A493" s="207" t="s">
        <v>57</v>
      </c>
      <c r="B493" s="207">
        <f t="shared" si="27"/>
        <v>400000</v>
      </c>
      <c r="C493" s="168">
        <f t="shared" si="26"/>
        <v>420000</v>
      </c>
      <c r="D493" s="168">
        <f t="shared" si="26"/>
        <v>441000</v>
      </c>
    </row>
    <row r="494" spans="1:4" ht="15.5">
      <c r="A494" s="196" t="s">
        <v>58</v>
      </c>
      <c r="B494" s="196">
        <f>SUM(B495:B496)</f>
        <v>1900000</v>
      </c>
      <c r="C494" s="166">
        <f t="shared" si="26"/>
        <v>1995000</v>
      </c>
      <c r="D494" s="166">
        <f t="shared" si="26"/>
        <v>2094750</v>
      </c>
    </row>
    <row r="495" spans="1:4" ht="15.5">
      <c r="A495" s="207" t="s">
        <v>102</v>
      </c>
      <c r="B495" s="207">
        <v>1500000</v>
      </c>
      <c r="C495" s="168">
        <f t="shared" si="26"/>
        <v>1575000</v>
      </c>
      <c r="D495" s="168">
        <f t="shared" si="26"/>
        <v>1653750</v>
      </c>
    </row>
    <row r="496" spans="1:4" ht="15.5">
      <c r="A496" s="207" t="s">
        <v>723</v>
      </c>
      <c r="B496" s="207">
        <f t="shared" si="27"/>
        <v>400000</v>
      </c>
      <c r="C496" s="168">
        <f t="shared" si="26"/>
        <v>420000</v>
      </c>
      <c r="D496" s="168">
        <f t="shared" si="26"/>
        <v>441000</v>
      </c>
    </row>
    <row r="497" spans="1:4" ht="15.5">
      <c r="A497" s="196" t="s">
        <v>60</v>
      </c>
      <c r="B497" s="196">
        <f>SUM(B498:B502)</f>
        <v>736000</v>
      </c>
      <c r="C497" s="166">
        <f t="shared" si="26"/>
        <v>772800</v>
      </c>
      <c r="D497" s="166">
        <f t="shared" si="26"/>
        <v>811440</v>
      </c>
    </row>
    <row r="498" spans="1:4" ht="15.5">
      <c r="A498" s="207" t="s">
        <v>724</v>
      </c>
      <c r="B498" s="207">
        <f>3000*12</f>
        <v>36000</v>
      </c>
      <c r="C498" s="168">
        <f t="shared" si="26"/>
        <v>37800</v>
      </c>
      <c r="D498" s="168">
        <f t="shared" si="26"/>
        <v>39690</v>
      </c>
    </row>
    <row r="499" spans="1:4" ht="15.5">
      <c r="A499" s="207" t="s">
        <v>725</v>
      </c>
      <c r="B499" s="207">
        <f>175000*4</f>
        <v>700000</v>
      </c>
      <c r="C499" s="168">
        <f t="shared" si="26"/>
        <v>735000</v>
      </c>
      <c r="D499" s="168">
        <f t="shared" si="26"/>
        <v>771750</v>
      </c>
    </row>
    <row r="500" spans="1:4" ht="15.5">
      <c r="A500" s="202" t="s">
        <v>103</v>
      </c>
      <c r="B500" s="202"/>
      <c r="C500" s="168">
        <f t="shared" si="26"/>
        <v>0</v>
      </c>
      <c r="D500" s="168">
        <f t="shared" si="26"/>
        <v>0</v>
      </c>
    </row>
    <row r="501" spans="1:4" ht="15.5">
      <c r="A501" s="195" t="s">
        <v>61</v>
      </c>
      <c r="B501" s="195"/>
      <c r="C501" s="168">
        <f t="shared" si="26"/>
        <v>0</v>
      </c>
      <c r="D501" s="168">
        <f t="shared" si="26"/>
        <v>0</v>
      </c>
    </row>
    <row r="502" spans="1:4" ht="15.5">
      <c r="A502" s="195" t="s">
        <v>726</v>
      </c>
      <c r="B502" s="195">
        <v>0</v>
      </c>
      <c r="C502" s="168">
        <f t="shared" si="26"/>
        <v>0</v>
      </c>
      <c r="D502" s="168">
        <f t="shared" si="26"/>
        <v>0</v>
      </c>
    </row>
    <row r="503" spans="1:4" ht="15.5">
      <c r="A503" s="196" t="s">
        <v>64</v>
      </c>
      <c r="B503" s="196">
        <f>B504</f>
        <v>1000000</v>
      </c>
      <c r="C503" s="166">
        <f t="shared" si="26"/>
        <v>1050000</v>
      </c>
      <c r="D503" s="166">
        <f t="shared" si="26"/>
        <v>1102500</v>
      </c>
    </row>
    <row r="504" spans="1:4" ht="15.5">
      <c r="A504" s="207" t="s">
        <v>65</v>
      </c>
      <c r="B504" s="207">
        <f>250000*4</f>
        <v>1000000</v>
      </c>
      <c r="C504" s="168">
        <f t="shared" si="26"/>
        <v>1050000</v>
      </c>
      <c r="D504" s="168">
        <f t="shared" si="26"/>
        <v>1102500</v>
      </c>
    </row>
    <row r="505" spans="1:4" ht="15.5">
      <c r="A505" s="196" t="s">
        <v>112</v>
      </c>
      <c r="B505" s="196">
        <f>SUM(B506:B510)</f>
        <v>2500000</v>
      </c>
      <c r="C505" s="166">
        <f t="shared" si="26"/>
        <v>2625000</v>
      </c>
      <c r="D505" s="166">
        <f t="shared" si="26"/>
        <v>2756250</v>
      </c>
    </row>
    <row r="506" spans="1:4" ht="15.5">
      <c r="A506" s="207" t="s">
        <v>113</v>
      </c>
      <c r="B506" s="207">
        <v>500000</v>
      </c>
      <c r="C506" s="168">
        <f t="shared" si="26"/>
        <v>525000</v>
      </c>
      <c r="D506" s="168">
        <f t="shared" si="26"/>
        <v>551250</v>
      </c>
    </row>
    <row r="507" spans="1:4" ht="15.5">
      <c r="A507" s="207" t="s">
        <v>66</v>
      </c>
      <c r="B507" s="207">
        <v>500000</v>
      </c>
      <c r="C507" s="168">
        <f t="shared" si="26"/>
        <v>525000</v>
      </c>
      <c r="D507" s="168">
        <f t="shared" si="26"/>
        <v>551250</v>
      </c>
    </row>
    <row r="508" spans="1:4" ht="15.5">
      <c r="A508" s="207" t="s">
        <v>689</v>
      </c>
      <c r="B508" s="207">
        <v>500000</v>
      </c>
      <c r="C508" s="168">
        <f t="shared" si="26"/>
        <v>525000</v>
      </c>
      <c r="D508" s="168">
        <f t="shared" si="26"/>
        <v>551250</v>
      </c>
    </row>
    <row r="509" spans="1:4" ht="15.5">
      <c r="A509" s="207" t="s">
        <v>142</v>
      </c>
      <c r="B509" s="207">
        <v>500000</v>
      </c>
      <c r="C509" s="168">
        <f t="shared" si="26"/>
        <v>525000</v>
      </c>
      <c r="D509" s="168">
        <f t="shared" si="26"/>
        <v>551250</v>
      </c>
    </row>
    <row r="510" spans="1:4" ht="15.5">
      <c r="A510" s="207" t="s">
        <v>67</v>
      </c>
      <c r="B510" s="207">
        <v>500000</v>
      </c>
      <c r="C510" s="168">
        <f t="shared" si="26"/>
        <v>525000</v>
      </c>
      <c r="D510" s="168">
        <f t="shared" si="26"/>
        <v>551250</v>
      </c>
    </row>
    <row r="511" spans="1:4" ht="15.5">
      <c r="A511" s="196" t="s">
        <v>727</v>
      </c>
      <c r="B511" s="196">
        <f>SUM(B512)</f>
        <v>500000</v>
      </c>
      <c r="C511" s="166">
        <f t="shared" si="26"/>
        <v>525000</v>
      </c>
      <c r="D511" s="166">
        <f t="shared" si="26"/>
        <v>551250</v>
      </c>
    </row>
    <row r="512" spans="1:4" ht="15.5">
      <c r="A512" s="207" t="s">
        <v>694</v>
      </c>
      <c r="B512" s="207">
        <v>500000</v>
      </c>
      <c r="C512" s="168">
        <f t="shared" si="26"/>
        <v>525000</v>
      </c>
      <c r="D512" s="168">
        <f t="shared" si="26"/>
        <v>551250</v>
      </c>
    </row>
    <row r="513" spans="1:4" ht="15.5">
      <c r="A513" s="196" t="s">
        <v>115</v>
      </c>
      <c r="B513" s="196">
        <f>SUM(B514:B517)</f>
        <v>1000000</v>
      </c>
      <c r="C513" s="166">
        <f t="shared" ref="C513:D522" si="28">B513*1.05</f>
        <v>1050000</v>
      </c>
      <c r="D513" s="166">
        <f t="shared" si="28"/>
        <v>1102500</v>
      </c>
    </row>
    <row r="514" spans="1:4" ht="15.5">
      <c r="A514" s="207" t="s">
        <v>69</v>
      </c>
      <c r="B514" s="207">
        <v>500000</v>
      </c>
      <c r="C514" s="168">
        <f t="shared" si="28"/>
        <v>525000</v>
      </c>
      <c r="D514" s="168">
        <f t="shared" si="28"/>
        <v>551250</v>
      </c>
    </row>
    <row r="515" spans="1:4" ht="15.5">
      <c r="A515" s="207" t="s">
        <v>70</v>
      </c>
      <c r="B515" s="207">
        <v>500000</v>
      </c>
      <c r="C515" s="168">
        <f t="shared" si="28"/>
        <v>525000</v>
      </c>
      <c r="D515" s="168">
        <f t="shared" si="28"/>
        <v>551250</v>
      </c>
    </row>
    <row r="516" spans="1:4" ht="15.5">
      <c r="A516" s="171" t="s">
        <v>728</v>
      </c>
      <c r="B516" s="171">
        <v>0</v>
      </c>
      <c r="C516" s="168">
        <f t="shared" si="28"/>
        <v>0</v>
      </c>
      <c r="D516" s="168">
        <f t="shared" si="28"/>
        <v>0</v>
      </c>
    </row>
    <row r="517" spans="1:4" ht="15.5">
      <c r="A517" s="195" t="s">
        <v>729</v>
      </c>
      <c r="B517" s="195">
        <v>0</v>
      </c>
      <c r="C517" s="168">
        <f t="shared" si="28"/>
        <v>0</v>
      </c>
      <c r="D517" s="168">
        <f t="shared" si="28"/>
        <v>0</v>
      </c>
    </row>
    <row r="518" spans="1:4" ht="15.5">
      <c r="A518" s="196" t="s">
        <v>730</v>
      </c>
      <c r="B518" s="196">
        <f>SUM(B519:B521)</f>
        <v>500000</v>
      </c>
      <c r="C518" s="166">
        <f t="shared" si="28"/>
        <v>525000</v>
      </c>
      <c r="D518" s="166">
        <f t="shared" si="28"/>
        <v>551250</v>
      </c>
    </row>
    <row r="519" spans="1:4" ht="15.5">
      <c r="A519" s="195" t="s">
        <v>731</v>
      </c>
      <c r="B519" s="195">
        <v>0</v>
      </c>
      <c r="C519" s="168">
        <f t="shared" si="28"/>
        <v>0</v>
      </c>
      <c r="D519" s="168">
        <f t="shared" si="28"/>
        <v>0</v>
      </c>
    </row>
    <row r="520" spans="1:4" ht="15.5">
      <c r="A520" s="207" t="s">
        <v>732</v>
      </c>
      <c r="B520" s="207">
        <v>500000</v>
      </c>
      <c r="C520" s="168">
        <f t="shared" si="28"/>
        <v>525000</v>
      </c>
      <c r="D520" s="168">
        <f t="shared" si="28"/>
        <v>551250</v>
      </c>
    </row>
    <row r="521" spans="1:4" ht="15.5">
      <c r="A521" s="201" t="s">
        <v>733</v>
      </c>
      <c r="B521" s="201"/>
      <c r="C521" s="168">
        <f t="shared" si="28"/>
        <v>0</v>
      </c>
      <c r="D521" s="168">
        <f t="shared" si="28"/>
        <v>0</v>
      </c>
    </row>
    <row r="522" spans="1:4" ht="15.5">
      <c r="A522" s="179" t="s">
        <v>621</v>
      </c>
      <c r="B522" s="179">
        <f>B518+B513+B511+B505+B503+B497+B494+B490+B479+B474+B464+B456+B452+B449</f>
        <v>32929052</v>
      </c>
      <c r="C522" s="166">
        <f t="shared" si="28"/>
        <v>34575504.600000001</v>
      </c>
      <c r="D522" s="166">
        <f t="shared" si="28"/>
        <v>36304279.830000006</v>
      </c>
    </row>
    <row r="523" spans="1:4" ht="15.5">
      <c r="A523" s="179" t="s">
        <v>672</v>
      </c>
      <c r="B523" s="179"/>
      <c r="C523" s="168">
        <f t="shared" ref="C523:C530" si="29">SUM(B523:B523)</f>
        <v>0</v>
      </c>
      <c r="D523" s="194">
        <v>0</v>
      </c>
    </row>
    <row r="524" spans="1:4" ht="15.5">
      <c r="A524" s="179" t="s">
        <v>612</v>
      </c>
      <c r="B524" s="179"/>
      <c r="C524" s="168">
        <f t="shared" si="29"/>
        <v>0</v>
      </c>
      <c r="D524" s="194">
        <v>0</v>
      </c>
    </row>
    <row r="525" spans="1:4" ht="15.5">
      <c r="A525" s="179" t="s">
        <v>739</v>
      </c>
      <c r="B525" s="179">
        <v>0</v>
      </c>
      <c r="C525" s="168">
        <f t="shared" si="29"/>
        <v>0</v>
      </c>
      <c r="D525" s="194">
        <v>0</v>
      </c>
    </row>
    <row r="526" spans="1:4" ht="15.5">
      <c r="A526" s="179" t="s">
        <v>156</v>
      </c>
      <c r="B526" s="179">
        <v>0</v>
      </c>
      <c r="C526" s="168">
        <f t="shared" si="29"/>
        <v>0</v>
      </c>
      <c r="D526" s="194">
        <v>0</v>
      </c>
    </row>
    <row r="527" spans="1:4" ht="15.5">
      <c r="A527" s="179" t="s">
        <v>694</v>
      </c>
      <c r="B527" s="179">
        <v>0</v>
      </c>
      <c r="C527" s="168">
        <f t="shared" si="29"/>
        <v>0</v>
      </c>
      <c r="D527" s="194">
        <v>0</v>
      </c>
    </row>
    <row r="528" spans="1:4" ht="15.5">
      <c r="A528" s="179" t="s">
        <v>742</v>
      </c>
      <c r="B528" s="179">
        <v>0</v>
      </c>
      <c r="C528" s="168">
        <f t="shared" si="29"/>
        <v>0</v>
      </c>
      <c r="D528" s="194">
        <v>0</v>
      </c>
    </row>
    <row r="529" spans="1:4" ht="15.5">
      <c r="A529" s="179" t="s">
        <v>741</v>
      </c>
      <c r="B529" s="179">
        <v>0</v>
      </c>
      <c r="C529" s="168">
        <f t="shared" si="29"/>
        <v>0</v>
      </c>
      <c r="D529" s="194">
        <v>0</v>
      </c>
    </row>
    <row r="530" spans="1:4" ht="15.5">
      <c r="A530" s="179" t="s">
        <v>622</v>
      </c>
      <c r="B530" s="179">
        <v>0</v>
      </c>
      <c r="C530" s="168">
        <f t="shared" si="29"/>
        <v>0</v>
      </c>
      <c r="D530" s="194">
        <v>0</v>
      </c>
    </row>
    <row r="531" spans="1:4" ht="15.5">
      <c r="A531" s="179" t="s">
        <v>623</v>
      </c>
      <c r="B531" s="179">
        <f>B522+B530</f>
        <v>32929052</v>
      </c>
      <c r="C531" s="166">
        <f>B531*1.05</f>
        <v>34575504.600000001</v>
      </c>
      <c r="D531" s="166">
        <f>C531*1.05</f>
        <v>36304279.830000006</v>
      </c>
    </row>
    <row r="532" spans="1:4" ht="15.5">
      <c r="A532" s="171" t="s">
        <v>672</v>
      </c>
      <c r="B532" s="171"/>
      <c r="C532" s="168">
        <f>SUM(B532:B532)</f>
        <v>0</v>
      </c>
      <c r="D532" s="194"/>
    </row>
    <row r="533" spans="1:4" ht="31">
      <c r="A533" s="175" t="s">
        <v>624</v>
      </c>
      <c r="B533" s="175" t="s">
        <v>424</v>
      </c>
      <c r="C533" s="176" t="s">
        <v>12</v>
      </c>
      <c r="D533" s="176" t="s">
        <v>426</v>
      </c>
    </row>
    <row r="534" spans="1:4" ht="15.5">
      <c r="A534" s="175" t="s">
        <v>625</v>
      </c>
      <c r="B534" s="175"/>
      <c r="C534" s="168">
        <f t="shared" ref="C534:C543" si="30">SUM(B534:B534)</f>
        <v>0</v>
      </c>
      <c r="D534" s="198"/>
    </row>
    <row r="535" spans="1:4" ht="15.5">
      <c r="A535" s="171" t="s">
        <v>666</v>
      </c>
      <c r="B535" s="171">
        <v>0</v>
      </c>
      <c r="C535" s="168">
        <f t="shared" si="30"/>
        <v>0</v>
      </c>
      <c r="D535" s="194"/>
    </row>
    <row r="536" spans="1:4" ht="15.5">
      <c r="A536" s="171" t="s">
        <v>81</v>
      </c>
      <c r="B536" s="171">
        <v>0</v>
      </c>
      <c r="C536" s="168">
        <f t="shared" si="30"/>
        <v>0</v>
      </c>
      <c r="D536" s="194"/>
    </row>
    <row r="537" spans="1:4" ht="15.5">
      <c r="A537" s="165" t="s">
        <v>668</v>
      </c>
      <c r="B537" s="165">
        <v>0</v>
      </c>
      <c r="C537" s="168">
        <f t="shared" si="30"/>
        <v>0</v>
      </c>
      <c r="D537" s="194"/>
    </row>
    <row r="538" spans="1:4" ht="15.5">
      <c r="A538" s="171" t="s">
        <v>712</v>
      </c>
      <c r="B538" s="171">
        <v>0</v>
      </c>
      <c r="C538" s="168">
        <f t="shared" si="30"/>
        <v>0</v>
      </c>
      <c r="D538" s="194"/>
    </row>
    <row r="539" spans="1:4" ht="31">
      <c r="A539" s="171" t="s">
        <v>713</v>
      </c>
      <c r="B539" s="171">
        <v>0</v>
      </c>
      <c r="C539" s="168">
        <f t="shared" si="30"/>
        <v>0</v>
      </c>
      <c r="D539" s="194"/>
    </row>
    <row r="540" spans="1:4" ht="15.5">
      <c r="A540" s="171" t="s">
        <v>714</v>
      </c>
      <c r="B540" s="171">
        <v>0</v>
      </c>
      <c r="C540" s="168">
        <f t="shared" si="30"/>
        <v>0</v>
      </c>
      <c r="D540" s="194"/>
    </row>
    <row r="541" spans="1:4" ht="15.5">
      <c r="A541" s="171" t="s">
        <v>715</v>
      </c>
      <c r="B541" s="171">
        <v>0</v>
      </c>
      <c r="C541" s="168">
        <f t="shared" si="30"/>
        <v>0</v>
      </c>
      <c r="D541" s="194"/>
    </row>
    <row r="542" spans="1:4" ht="31">
      <c r="A542" s="171" t="s">
        <v>716</v>
      </c>
      <c r="B542" s="171">
        <v>0</v>
      </c>
      <c r="C542" s="168">
        <f t="shared" si="30"/>
        <v>0</v>
      </c>
      <c r="D542" s="194"/>
    </row>
    <row r="543" spans="1:4" ht="15.5">
      <c r="A543" s="165" t="s">
        <v>717</v>
      </c>
      <c r="B543" s="165">
        <v>0</v>
      </c>
      <c r="C543" s="168">
        <f t="shared" si="30"/>
        <v>0</v>
      </c>
      <c r="D543" s="194"/>
    </row>
    <row r="544" spans="1:4" ht="15.5">
      <c r="A544" s="175" t="s">
        <v>29</v>
      </c>
      <c r="B544" s="175">
        <f>SUM(B545:B546)</f>
        <v>2198860.4829013329</v>
      </c>
      <c r="C544" s="166">
        <f t="shared" ref="C544:D607" si="31">B544*1.05</f>
        <v>2308803.5070463996</v>
      </c>
      <c r="D544" s="166">
        <f t="shared" si="31"/>
        <v>2424243.6823987197</v>
      </c>
    </row>
    <row r="545" spans="1:4" ht="15.5">
      <c r="A545" s="201" t="s">
        <v>82</v>
      </c>
      <c r="B545" s="201">
        <v>1896000.0445200701</v>
      </c>
      <c r="C545" s="168">
        <f t="shared" si="31"/>
        <v>1990800.0467460738</v>
      </c>
      <c r="D545" s="168">
        <f t="shared" si="31"/>
        <v>2090340.0490833775</v>
      </c>
    </row>
    <row r="546" spans="1:4" ht="15.5">
      <c r="A546" s="201" t="s">
        <v>83</v>
      </c>
      <c r="B546" s="201">
        <v>302860.438381263</v>
      </c>
      <c r="C546" s="168">
        <f t="shared" si="31"/>
        <v>318003.46030032617</v>
      </c>
      <c r="D546" s="168">
        <f t="shared" si="31"/>
        <v>333903.63331534248</v>
      </c>
    </row>
    <row r="547" spans="1:4" ht="15.5">
      <c r="A547" s="175" t="s">
        <v>126</v>
      </c>
      <c r="B547" s="175">
        <v>222766.96322883401</v>
      </c>
      <c r="C547" s="166">
        <f t="shared" si="31"/>
        <v>233905.31139027572</v>
      </c>
      <c r="D547" s="166">
        <f t="shared" si="31"/>
        <v>245600.57695978953</v>
      </c>
    </row>
    <row r="548" spans="1:4" ht="31">
      <c r="A548" s="201" t="s">
        <v>84</v>
      </c>
      <c r="B548" s="201">
        <v>300000.15158886899</v>
      </c>
      <c r="C548" s="168">
        <f t="shared" si="31"/>
        <v>315000.15916831244</v>
      </c>
      <c r="D548" s="168">
        <f t="shared" si="31"/>
        <v>330750.16712672811</v>
      </c>
    </row>
    <row r="549" spans="1:4" ht="15.5">
      <c r="A549" s="201" t="s">
        <v>85</v>
      </c>
      <c r="B549" s="201">
        <v>222766.96322883401</v>
      </c>
      <c r="C549" s="168">
        <f t="shared" si="31"/>
        <v>233905.31139027572</v>
      </c>
      <c r="D549" s="168">
        <f t="shared" si="31"/>
        <v>245600.57695978953</v>
      </c>
    </row>
    <row r="550" spans="1:4" ht="15.5">
      <c r="A550" s="201" t="s">
        <v>35</v>
      </c>
      <c r="B550" s="201">
        <v>0</v>
      </c>
      <c r="C550" s="168">
        <f t="shared" si="31"/>
        <v>0</v>
      </c>
      <c r="D550" s="168">
        <f t="shared" si="31"/>
        <v>0</v>
      </c>
    </row>
    <row r="551" spans="1:4" ht="31">
      <c r="A551" s="175" t="s">
        <v>36</v>
      </c>
      <c r="B551" s="175">
        <f>SUM(B552:B554)</f>
        <v>1858794.5667831441</v>
      </c>
      <c r="C551" s="166">
        <f t="shared" si="31"/>
        <v>1951734.2951223014</v>
      </c>
      <c r="D551" s="166">
        <f t="shared" si="31"/>
        <v>2049321.0098784165</v>
      </c>
    </row>
    <row r="552" spans="1:4" ht="31">
      <c r="A552" s="201" t="s">
        <v>86</v>
      </c>
      <c r="B552" s="201">
        <v>194078.15158886899</v>
      </c>
      <c r="C552" s="168">
        <f t="shared" si="31"/>
        <v>203782.05916831244</v>
      </c>
      <c r="D552" s="168">
        <f t="shared" si="31"/>
        <v>213971.16212672807</v>
      </c>
    </row>
    <row r="553" spans="1:4" ht="15.5">
      <c r="A553" s="201" t="s">
        <v>87</v>
      </c>
      <c r="B553" s="201">
        <v>1062595.0254997499</v>
      </c>
      <c r="C553" s="168">
        <f t="shared" si="31"/>
        <v>1115724.7767747375</v>
      </c>
      <c r="D553" s="168">
        <f t="shared" si="31"/>
        <v>1171511.0156134744</v>
      </c>
    </row>
    <row r="554" spans="1:4" ht="15.5">
      <c r="A554" s="201" t="s">
        <v>88</v>
      </c>
      <c r="B554" s="201">
        <v>602121.38969452505</v>
      </c>
      <c r="C554" s="168">
        <f t="shared" si="31"/>
        <v>632227.45917925134</v>
      </c>
      <c r="D554" s="168">
        <f t="shared" si="31"/>
        <v>663838.83213821391</v>
      </c>
    </row>
    <row r="555" spans="1:4" ht="31">
      <c r="A555" s="201" t="s">
        <v>89</v>
      </c>
      <c r="B555" s="201">
        <v>0</v>
      </c>
      <c r="C555" s="168">
        <f t="shared" si="31"/>
        <v>0</v>
      </c>
      <c r="D555" s="168">
        <f t="shared" si="31"/>
        <v>0</v>
      </c>
    </row>
    <row r="556" spans="1:4" ht="15.5">
      <c r="A556" s="201" t="s">
        <v>90</v>
      </c>
      <c r="B556" s="201">
        <v>0</v>
      </c>
      <c r="C556" s="168">
        <f t="shared" si="31"/>
        <v>0</v>
      </c>
      <c r="D556" s="168">
        <f t="shared" si="31"/>
        <v>0</v>
      </c>
    </row>
    <row r="557" spans="1:4" ht="15.5">
      <c r="A557" s="201" t="s">
        <v>673</v>
      </c>
      <c r="B557" s="201">
        <v>0</v>
      </c>
      <c r="C557" s="168">
        <f t="shared" si="31"/>
        <v>0</v>
      </c>
      <c r="D557" s="168">
        <f t="shared" si="31"/>
        <v>0</v>
      </c>
    </row>
    <row r="558" spans="1:4" ht="15.5">
      <c r="A558" s="201" t="s">
        <v>41</v>
      </c>
      <c r="B558" s="201">
        <v>0</v>
      </c>
      <c r="C558" s="168">
        <f t="shared" si="31"/>
        <v>0</v>
      </c>
      <c r="D558" s="168">
        <f t="shared" si="31"/>
        <v>0</v>
      </c>
    </row>
    <row r="559" spans="1:4" ht="31">
      <c r="A559" s="175" t="s">
        <v>91</v>
      </c>
      <c r="B559" s="175">
        <f>B560</f>
        <v>417032.55079367</v>
      </c>
      <c r="C559" s="166">
        <f t="shared" si="31"/>
        <v>437884.17833335354</v>
      </c>
      <c r="D559" s="166">
        <f t="shared" si="31"/>
        <v>459778.38725002122</v>
      </c>
    </row>
    <row r="560" spans="1:4" ht="15.5">
      <c r="A560" s="201" t="s">
        <v>44</v>
      </c>
      <c r="B560" s="201">
        <v>417032.55079367</v>
      </c>
      <c r="C560" s="168">
        <f t="shared" si="31"/>
        <v>437884.17833335354</v>
      </c>
      <c r="D560" s="168">
        <f t="shared" si="31"/>
        <v>459778.38725002122</v>
      </c>
    </row>
    <row r="561" spans="1:4" ht="31">
      <c r="A561" s="201" t="s">
        <v>165</v>
      </c>
      <c r="B561" s="201">
        <v>0</v>
      </c>
      <c r="C561" s="168">
        <f t="shared" si="31"/>
        <v>0</v>
      </c>
      <c r="D561" s="168">
        <f t="shared" si="31"/>
        <v>0</v>
      </c>
    </row>
    <row r="562" spans="1:4" ht="31">
      <c r="A562" s="201" t="s">
        <v>45</v>
      </c>
      <c r="B562" s="201">
        <v>0</v>
      </c>
      <c r="C562" s="168">
        <f t="shared" si="31"/>
        <v>0</v>
      </c>
      <c r="D562" s="168">
        <f t="shared" si="31"/>
        <v>0</v>
      </c>
    </row>
    <row r="563" spans="1:4" ht="15.5">
      <c r="A563" s="201" t="s">
        <v>46</v>
      </c>
      <c r="B563" s="201">
        <v>0</v>
      </c>
      <c r="C563" s="168">
        <f t="shared" si="31"/>
        <v>0</v>
      </c>
      <c r="D563" s="168">
        <f t="shared" si="31"/>
        <v>0</v>
      </c>
    </row>
    <row r="564" spans="1:4" ht="15.5">
      <c r="A564" s="201" t="s">
        <v>718</v>
      </c>
      <c r="B564" s="201">
        <v>0</v>
      </c>
      <c r="C564" s="168">
        <f t="shared" si="31"/>
        <v>0</v>
      </c>
      <c r="D564" s="168">
        <f t="shared" si="31"/>
        <v>0</v>
      </c>
    </row>
    <row r="565" spans="1:4" ht="15.5">
      <c r="A565" s="201" t="s">
        <v>719</v>
      </c>
      <c r="B565" s="201">
        <v>0</v>
      </c>
      <c r="C565" s="168">
        <f t="shared" si="31"/>
        <v>0</v>
      </c>
      <c r="D565" s="168">
        <f t="shared" si="31"/>
        <v>0</v>
      </c>
    </row>
    <row r="566" spans="1:4" ht="15.5">
      <c r="A566" s="201" t="s">
        <v>47</v>
      </c>
      <c r="B566" s="201">
        <v>0</v>
      </c>
      <c r="C566" s="168">
        <f t="shared" si="31"/>
        <v>0</v>
      </c>
      <c r="D566" s="168">
        <f t="shared" si="31"/>
        <v>0</v>
      </c>
    </row>
    <row r="567" spans="1:4" ht="15.5">
      <c r="A567" s="201" t="s">
        <v>93</v>
      </c>
      <c r="B567" s="201">
        <v>0</v>
      </c>
      <c r="C567" s="168">
        <f t="shared" si="31"/>
        <v>0</v>
      </c>
      <c r="D567" s="168">
        <f t="shared" si="31"/>
        <v>0</v>
      </c>
    </row>
    <row r="568" spans="1:4" ht="15.5">
      <c r="A568" s="201" t="s">
        <v>94</v>
      </c>
      <c r="B568" s="201">
        <v>0</v>
      </c>
      <c r="C568" s="168">
        <f t="shared" si="31"/>
        <v>0</v>
      </c>
      <c r="D568" s="168">
        <f t="shared" si="31"/>
        <v>0</v>
      </c>
    </row>
    <row r="569" spans="1:4" ht="15.5">
      <c r="A569" s="175" t="s">
        <v>49</v>
      </c>
      <c r="B569" s="175">
        <f>SUM(B570:B571)</f>
        <v>1196709.003110124</v>
      </c>
      <c r="C569" s="168">
        <f t="shared" si="31"/>
        <v>1256544.4532656302</v>
      </c>
      <c r="D569" s="168">
        <f t="shared" si="31"/>
        <v>1319371.6759289117</v>
      </c>
    </row>
    <row r="570" spans="1:4" ht="31">
      <c r="A570" s="201" t="s">
        <v>675</v>
      </c>
      <c r="B570" s="201">
        <v>496709.50155506202</v>
      </c>
      <c r="C570" s="168">
        <f t="shared" si="31"/>
        <v>521544.97663281515</v>
      </c>
      <c r="D570" s="168">
        <f t="shared" si="31"/>
        <v>547622.2254644559</v>
      </c>
    </row>
    <row r="571" spans="1:4" ht="31">
      <c r="A571" s="201" t="s">
        <v>134</v>
      </c>
      <c r="B571" s="201">
        <v>699999.50155506202</v>
      </c>
      <c r="C571" s="168">
        <f t="shared" si="31"/>
        <v>734999.4766328152</v>
      </c>
      <c r="D571" s="168">
        <f t="shared" si="31"/>
        <v>771749.45046445599</v>
      </c>
    </row>
    <row r="572" spans="1:4" ht="15.5">
      <c r="A572" s="201" t="s">
        <v>135</v>
      </c>
      <c r="B572" s="201">
        <v>0</v>
      </c>
      <c r="C572" s="168">
        <f t="shared" si="31"/>
        <v>0</v>
      </c>
      <c r="D572" s="168">
        <f t="shared" si="31"/>
        <v>0</v>
      </c>
    </row>
    <row r="573" spans="1:4" ht="15.5">
      <c r="A573" s="201" t="s">
        <v>54</v>
      </c>
      <c r="B573" s="201">
        <v>0</v>
      </c>
      <c r="C573" s="168">
        <f t="shared" si="31"/>
        <v>0</v>
      </c>
      <c r="D573" s="168">
        <f t="shared" si="31"/>
        <v>0</v>
      </c>
    </row>
    <row r="574" spans="1:4" ht="15.5">
      <c r="A574" s="175" t="s">
        <v>677</v>
      </c>
      <c r="B574" s="175">
        <f>SUM(B575:B583)</f>
        <v>20454537.441028554</v>
      </c>
      <c r="C574" s="166">
        <f t="shared" si="31"/>
        <v>21477264.313079983</v>
      </c>
      <c r="D574" s="166">
        <f t="shared" si="31"/>
        <v>22551127.528733984</v>
      </c>
    </row>
    <row r="575" spans="1:4" ht="15.5">
      <c r="A575" s="201" t="s">
        <v>678</v>
      </c>
      <c r="B575" s="201">
        <v>6173184.4515466001</v>
      </c>
      <c r="C575" s="168">
        <f t="shared" si="31"/>
        <v>6481843.6741239307</v>
      </c>
      <c r="D575" s="168">
        <f t="shared" si="31"/>
        <v>6805935.8578301277</v>
      </c>
    </row>
    <row r="576" spans="1:4" ht="31">
      <c r="A576" s="201" t="s">
        <v>679</v>
      </c>
      <c r="B576" s="201">
        <v>5476446.2978391396</v>
      </c>
      <c r="C576" s="168">
        <f t="shared" si="31"/>
        <v>5750268.6127310973</v>
      </c>
      <c r="D576" s="168">
        <f t="shared" si="31"/>
        <v>6037782.0433676522</v>
      </c>
    </row>
    <row r="577" spans="1:4" ht="15.5">
      <c r="A577" s="201" t="s">
        <v>137</v>
      </c>
      <c r="B577" s="201">
        <v>687626.32150445995</v>
      </c>
      <c r="C577" s="168">
        <f t="shared" si="31"/>
        <v>722007.63757968298</v>
      </c>
      <c r="D577" s="168">
        <f t="shared" si="31"/>
        <v>758108.01945866714</v>
      </c>
    </row>
    <row r="578" spans="1:4" ht="15.5">
      <c r="A578" s="201" t="s">
        <v>680</v>
      </c>
      <c r="B578" s="201">
        <v>687626.32150445995</v>
      </c>
      <c r="C578" s="168">
        <f t="shared" si="31"/>
        <v>722007.63757968298</v>
      </c>
      <c r="D578" s="168">
        <f t="shared" si="31"/>
        <v>758108.01945866714</v>
      </c>
    </row>
    <row r="579" spans="1:4" ht="31">
      <c r="A579" s="201" t="s">
        <v>681</v>
      </c>
      <c r="B579" s="201">
        <v>3000000.2390968301</v>
      </c>
      <c r="C579" s="168">
        <f t="shared" si="31"/>
        <v>3150000.2510516718</v>
      </c>
      <c r="D579" s="168">
        <f t="shared" si="31"/>
        <v>3307500.2636042554</v>
      </c>
    </row>
    <row r="580" spans="1:4" ht="15.5">
      <c r="A580" s="201" t="s">
        <v>682</v>
      </c>
      <c r="B580" s="201">
        <v>3375252.6430089301</v>
      </c>
      <c r="C580" s="168">
        <f t="shared" si="31"/>
        <v>3544015.2751593767</v>
      </c>
      <c r="D580" s="168">
        <f t="shared" si="31"/>
        <v>3721216.0389173455</v>
      </c>
    </row>
    <row r="581" spans="1:4" ht="15.5">
      <c r="A581" s="201" t="s">
        <v>720</v>
      </c>
      <c r="B581" s="201">
        <v>0</v>
      </c>
      <c r="C581" s="168">
        <f t="shared" si="31"/>
        <v>0</v>
      </c>
      <c r="D581" s="168">
        <f t="shared" si="31"/>
        <v>0</v>
      </c>
    </row>
    <row r="582" spans="1:4" ht="15.5">
      <c r="A582" s="201" t="s">
        <v>683</v>
      </c>
      <c r="B582" s="201">
        <v>354401.16652813199</v>
      </c>
      <c r="C582" s="168">
        <f t="shared" si="31"/>
        <v>372121.22485453862</v>
      </c>
      <c r="D582" s="168">
        <f t="shared" si="31"/>
        <v>390727.28609726555</v>
      </c>
    </row>
    <row r="583" spans="1:4" ht="15.5">
      <c r="A583" s="201" t="s">
        <v>722</v>
      </c>
      <c r="B583" s="201">
        <v>700000</v>
      </c>
      <c r="C583" s="168">
        <f t="shared" si="31"/>
        <v>735000</v>
      </c>
      <c r="D583" s="168">
        <f t="shared" si="31"/>
        <v>771750</v>
      </c>
    </row>
    <row r="584" spans="1:4" ht="31">
      <c r="A584" s="175" t="s">
        <v>55</v>
      </c>
      <c r="B584" s="175">
        <f>SUM(B585:B587)</f>
        <v>1537683.174077933</v>
      </c>
      <c r="C584" s="166">
        <f t="shared" si="31"/>
        <v>1614567.3327818296</v>
      </c>
      <c r="D584" s="166">
        <f t="shared" si="31"/>
        <v>1695295.6994209213</v>
      </c>
    </row>
    <row r="585" spans="1:4" ht="31">
      <c r="A585" s="201" t="s">
        <v>685</v>
      </c>
      <c r="B585" s="201">
        <v>660000.24672019598</v>
      </c>
      <c r="C585" s="168">
        <f t="shared" si="31"/>
        <v>693000.25905620586</v>
      </c>
      <c r="D585" s="168">
        <f t="shared" si="31"/>
        <v>727650.27200901613</v>
      </c>
    </row>
    <row r="586" spans="1:4" ht="31">
      <c r="A586" s="201" t="s">
        <v>167</v>
      </c>
      <c r="B586" s="201">
        <v>300000</v>
      </c>
      <c r="C586" s="168">
        <f t="shared" si="31"/>
        <v>315000</v>
      </c>
      <c r="D586" s="168">
        <f t="shared" si="31"/>
        <v>330750</v>
      </c>
    </row>
    <row r="587" spans="1:4" ht="31">
      <c r="A587" s="201" t="s">
        <v>57</v>
      </c>
      <c r="B587" s="201">
        <v>577682.92735773697</v>
      </c>
      <c r="C587" s="168">
        <f t="shared" si="31"/>
        <v>606567.07372562389</v>
      </c>
      <c r="D587" s="168">
        <f t="shared" si="31"/>
        <v>636895.42741190514</v>
      </c>
    </row>
    <row r="588" spans="1:4" ht="15.5">
      <c r="A588" s="175" t="s">
        <v>58</v>
      </c>
      <c r="B588" s="175">
        <f>SUM(B589:B590)</f>
        <v>1883751.5597403641</v>
      </c>
      <c r="C588" s="166">
        <f t="shared" si="31"/>
        <v>1977939.1377273824</v>
      </c>
      <c r="D588" s="166">
        <f t="shared" si="31"/>
        <v>2076836.0946137516</v>
      </c>
    </row>
    <row r="589" spans="1:4" ht="31">
      <c r="A589" s="201" t="s">
        <v>102</v>
      </c>
      <c r="B589" s="201">
        <v>1607151.09595316</v>
      </c>
      <c r="C589" s="168">
        <f t="shared" si="31"/>
        <v>1687508.650750818</v>
      </c>
      <c r="D589" s="168">
        <f t="shared" si="31"/>
        <v>1771884.083288359</v>
      </c>
    </row>
    <row r="590" spans="1:4" ht="31">
      <c r="A590" s="201" t="s">
        <v>723</v>
      </c>
      <c r="B590" s="201">
        <v>276600.463787204</v>
      </c>
      <c r="C590" s="168">
        <f t="shared" si="31"/>
        <v>290430.48697656422</v>
      </c>
      <c r="D590" s="168">
        <f t="shared" si="31"/>
        <v>304952.01132539246</v>
      </c>
    </row>
    <row r="591" spans="1:4" ht="15.5">
      <c r="A591" s="175" t="s">
        <v>60</v>
      </c>
      <c r="B591" s="175">
        <f>SUM(B592:B596)</f>
        <v>2091086.717274134</v>
      </c>
      <c r="C591" s="166">
        <f t="shared" si="31"/>
        <v>2195641.0531378407</v>
      </c>
      <c r="D591" s="166">
        <f t="shared" si="31"/>
        <v>2305423.1057947329</v>
      </c>
    </row>
    <row r="592" spans="1:4" ht="15.5">
      <c r="A592" s="201" t="s">
        <v>724</v>
      </c>
      <c r="B592" s="201">
        <v>60000</v>
      </c>
      <c r="C592" s="168">
        <f t="shared" si="31"/>
        <v>63000</v>
      </c>
      <c r="D592" s="168">
        <f t="shared" si="31"/>
        <v>66150</v>
      </c>
    </row>
    <row r="593" spans="1:4" ht="15.5">
      <c r="A593" s="201" t="s">
        <v>725</v>
      </c>
      <c r="B593" s="201">
        <v>746386.71727413405</v>
      </c>
      <c r="C593" s="168">
        <f t="shared" si="31"/>
        <v>783706.05313784082</v>
      </c>
      <c r="D593" s="168">
        <f t="shared" si="31"/>
        <v>822891.35579473292</v>
      </c>
    </row>
    <row r="594" spans="1:4" ht="15.5">
      <c r="A594" s="201" t="s">
        <v>103</v>
      </c>
      <c r="B594" s="201">
        <v>1260000</v>
      </c>
      <c r="C594" s="168">
        <f t="shared" si="31"/>
        <v>1323000</v>
      </c>
      <c r="D594" s="168">
        <f t="shared" si="31"/>
        <v>1389150</v>
      </c>
    </row>
    <row r="595" spans="1:4" ht="31">
      <c r="A595" s="201" t="s">
        <v>61</v>
      </c>
      <c r="B595" s="201">
        <v>24700</v>
      </c>
      <c r="C595" s="168">
        <f t="shared" si="31"/>
        <v>25935</v>
      </c>
      <c r="D595" s="168">
        <f t="shared" si="31"/>
        <v>27231.75</v>
      </c>
    </row>
    <row r="596" spans="1:4" ht="31">
      <c r="A596" s="201" t="s">
        <v>726</v>
      </c>
      <c r="B596" s="201">
        <v>0</v>
      </c>
      <c r="C596" s="168">
        <f t="shared" si="31"/>
        <v>0</v>
      </c>
      <c r="D596" s="168">
        <f t="shared" si="31"/>
        <v>0</v>
      </c>
    </row>
    <row r="597" spans="1:4" ht="31">
      <c r="A597" s="175" t="s">
        <v>64</v>
      </c>
      <c r="B597" s="175">
        <f>B598</f>
        <v>683490.14581297</v>
      </c>
      <c r="C597" s="166">
        <f t="shared" si="31"/>
        <v>717664.65310361853</v>
      </c>
      <c r="D597" s="166">
        <f t="shared" si="31"/>
        <v>753547.8857587995</v>
      </c>
    </row>
    <row r="598" spans="1:4" ht="15.5">
      <c r="A598" s="201" t="s">
        <v>65</v>
      </c>
      <c r="B598" s="201">
        <v>683490.14581297</v>
      </c>
      <c r="C598" s="168">
        <f t="shared" si="31"/>
        <v>717664.65310361853</v>
      </c>
      <c r="D598" s="168">
        <f t="shared" si="31"/>
        <v>753547.8857587995</v>
      </c>
    </row>
    <row r="599" spans="1:4" ht="15.5">
      <c r="A599" s="175" t="s">
        <v>112</v>
      </c>
      <c r="B599" s="175">
        <f>SUM(B600:B604)</f>
        <v>2340912.2436600747</v>
      </c>
      <c r="C599" s="166">
        <f t="shared" si="31"/>
        <v>2457957.8558430783</v>
      </c>
      <c r="D599" s="166">
        <f t="shared" si="31"/>
        <v>2580855.7486352324</v>
      </c>
    </row>
    <row r="600" spans="1:4" ht="31">
      <c r="A600" s="201" t="s">
        <v>113</v>
      </c>
      <c r="B600" s="201">
        <v>454694.94621642597</v>
      </c>
      <c r="C600" s="168">
        <f t="shared" si="31"/>
        <v>477429.69352724729</v>
      </c>
      <c r="D600" s="168">
        <f t="shared" si="31"/>
        <v>501301.17820360966</v>
      </c>
    </row>
    <row r="601" spans="1:4" ht="31">
      <c r="A601" s="201" t="s">
        <v>66</v>
      </c>
      <c r="B601" s="201">
        <v>228605.24677653</v>
      </c>
      <c r="C601" s="168">
        <f t="shared" si="31"/>
        <v>240035.50911535652</v>
      </c>
      <c r="D601" s="168">
        <f t="shared" si="31"/>
        <v>252037.28457112436</v>
      </c>
    </row>
    <row r="602" spans="1:4" ht="31">
      <c r="A602" s="201" t="s">
        <v>689</v>
      </c>
      <c r="B602" s="201">
        <v>328799.54733663402</v>
      </c>
      <c r="C602" s="168">
        <f t="shared" si="31"/>
        <v>345239.52470346575</v>
      </c>
      <c r="D602" s="168">
        <f t="shared" si="31"/>
        <v>362501.50093863904</v>
      </c>
    </row>
    <row r="603" spans="1:4" ht="31">
      <c r="A603" s="201" t="s">
        <v>142</v>
      </c>
      <c r="B603" s="201">
        <v>540000</v>
      </c>
      <c r="C603" s="168">
        <f t="shared" si="31"/>
        <v>567000</v>
      </c>
      <c r="D603" s="168">
        <f t="shared" si="31"/>
        <v>595350</v>
      </c>
    </row>
    <row r="604" spans="1:4" ht="31">
      <c r="A604" s="201" t="s">
        <v>67</v>
      </c>
      <c r="B604" s="201">
        <v>788812.50333048496</v>
      </c>
      <c r="C604" s="168">
        <f t="shared" si="31"/>
        <v>828253.12849700928</v>
      </c>
      <c r="D604" s="168">
        <f t="shared" si="31"/>
        <v>869665.78492185974</v>
      </c>
    </row>
    <row r="605" spans="1:4" ht="15.5">
      <c r="A605" s="175" t="s">
        <v>727</v>
      </c>
      <c r="B605" s="175">
        <v>200000</v>
      </c>
      <c r="C605" s="166">
        <f t="shared" si="31"/>
        <v>210000</v>
      </c>
      <c r="D605" s="166">
        <f t="shared" si="31"/>
        <v>220500</v>
      </c>
    </row>
    <row r="606" spans="1:4" ht="31">
      <c r="A606" s="201" t="s">
        <v>694</v>
      </c>
      <c r="B606" s="201">
        <v>250000</v>
      </c>
      <c r="C606" s="168">
        <f t="shared" si="31"/>
        <v>262500</v>
      </c>
      <c r="D606" s="168">
        <f t="shared" si="31"/>
        <v>275625</v>
      </c>
    </row>
    <row r="607" spans="1:4" ht="31">
      <c r="A607" s="175" t="s">
        <v>115</v>
      </c>
      <c r="B607" s="175">
        <f>B608</f>
        <v>250000</v>
      </c>
      <c r="C607" s="166">
        <f t="shared" si="31"/>
        <v>262500</v>
      </c>
      <c r="D607" s="166">
        <f t="shared" si="31"/>
        <v>275625</v>
      </c>
    </row>
    <row r="608" spans="1:4" ht="15.5">
      <c r="A608" s="201" t="s">
        <v>69</v>
      </c>
      <c r="B608" s="201">
        <v>250000</v>
      </c>
      <c r="C608" s="168">
        <f t="shared" ref="C608:D613" si="32">B608*1.05</f>
        <v>262500</v>
      </c>
      <c r="D608" s="168">
        <f t="shared" si="32"/>
        <v>275625</v>
      </c>
    </row>
    <row r="609" spans="1:4" ht="31">
      <c r="A609" s="201" t="s">
        <v>70</v>
      </c>
      <c r="B609" s="201">
        <v>0</v>
      </c>
      <c r="C609" s="168">
        <f t="shared" si="32"/>
        <v>0</v>
      </c>
      <c r="D609" s="168">
        <f t="shared" si="32"/>
        <v>0</v>
      </c>
    </row>
    <row r="610" spans="1:4" ht="15.5">
      <c r="A610" s="201" t="s">
        <v>728</v>
      </c>
      <c r="B610" s="201">
        <v>0</v>
      </c>
      <c r="C610" s="168">
        <f t="shared" si="32"/>
        <v>0</v>
      </c>
      <c r="D610" s="168">
        <f t="shared" si="32"/>
        <v>0</v>
      </c>
    </row>
    <row r="611" spans="1:4" ht="31">
      <c r="A611" s="201" t="s">
        <v>729</v>
      </c>
      <c r="B611" s="201">
        <v>200000</v>
      </c>
      <c r="C611" s="168">
        <f t="shared" si="32"/>
        <v>210000</v>
      </c>
      <c r="D611" s="168">
        <f t="shared" si="32"/>
        <v>220500</v>
      </c>
    </row>
    <row r="612" spans="1:4" ht="31">
      <c r="A612" s="175" t="s">
        <v>730</v>
      </c>
      <c r="B612" s="175">
        <f>B613</f>
        <v>200000</v>
      </c>
      <c r="C612" s="166">
        <f t="shared" si="32"/>
        <v>210000</v>
      </c>
      <c r="D612" s="166">
        <f t="shared" si="32"/>
        <v>220500</v>
      </c>
    </row>
    <row r="613" spans="1:4" ht="31">
      <c r="A613" s="201" t="s">
        <v>731</v>
      </c>
      <c r="B613" s="201">
        <v>200000</v>
      </c>
      <c r="C613" s="168">
        <f t="shared" si="32"/>
        <v>210000</v>
      </c>
      <c r="D613" s="168">
        <f t="shared" si="32"/>
        <v>220500</v>
      </c>
    </row>
    <row r="614" spans="1:4" ht="31">
      <c r="A614" s="201" t="s">
        <v>732</v>
      </c>
      <c r="B614" s="201"/>
      <c r="C614" s="168">
        <f>SUM(B614:B614)</f>
        <v>0</v>
      </c>
      <c r="D614" s="194">
        <v>0</v>
      </c>
    </row>
    <row r="615" spans="1:4" ht="15.5">
      <c r="A615" s="201" t="s">
        <v>733</v>
      </c>
      <c r="B615" s="201">
        <v>0</v>
      </c>
      <c r="C615" s="168">
        <f>SUM(B615:B615)</f>
        <v>0</v>
      </c>
      <c r="D615" s="194">
        <v>0</v>
      </c>
    </row>
    <row r="616" spans="1:4" ht="31">
      <c r="A616" s="165" t="s">
        <v>626</v>
      </c>
      <c r="B616" s="165">
        <f>B612+B607+B605+B599+B597+B591+B588+B584+B574+B569+B559+B551+B544</f>
        <v>35312857.885182306</v>
      </c>
      <c r="C616" s="166">
        <f>B616*1.05</f>
        <v>37078500.779441424</v>
      </c>
      <c r="D616" s="166">
        <f>C616*1.05</f>
        <v>38932425.818413496</v>
      </c>
    </row>
    <row r="617" spans="1:4" ht="15.5">
      <c r="A617" s="171" t="s">
        <v>672</v>
      </c>
      <c r="B617" s="171"/>
      <c r="C617" s="168">
        <f t="shared" ref="C617:C624" si="33">SUM(B617:B617)</f>
        <v>0</v>
      </c>
      <c r="D617" s="194"/>
    </row>
    <row r="618" spans="1:4" ht="15.5">
      <c r="A618" s="171" t="s">
        <v>612</v>
      </c>
      <c r="B618" s="171"/>
      <c r="C618" s="168">
        <f t="shared" si="33"/>
        <v>0</v>
      </c>
      <c r="D618" s="194"/>
    </row>
    <row r="619" spans="1:4" ht="15.5">
      <c r="A619" s="171" t="s">
        <v>739</v>
      </c>
      <c r="B619" s="171">
        <v>0</v>
      </c>
      <c r="C619" s="168">
        <f t="shared" si="33"/>
        <v>0</v>
      </c>
      <c r="D619" s="168">
        <v>0</v>
      </c>
    </row>
    <row r="620" spans="1:4" ht="15.5">
      <c r="A620" s="171" t="s">
        <v>156</v>
      </c>
      <c r="B620" s="171">
        <v>0</v>
      </c>
      <c r="C620" s="168">
        <f t="shared" si="33"/>
        <v>0</v>
      </c>
      <c r="D620" s="168">
        <v>0</v>
      </c>
    </row>
    <row r="621" spans="1:4" ht="31">
      <c r="A621" s="171" t="s">
        <v>694</v>
      </c>
      <c r="B621" s="171">
        <v>0</v>
      </c>
      <c r="C621" s="168">
        <f t="shared" si="33"/>
        <v>0</v>
      </c>
      <c r="D621" s="168">
        <v>0</v>
      </c>
    </row>
    <row r="622" spans="1:4" ht="15.5">
      <c r="A622" s="171" t="s">
        <v>740</v>
      </c>
      <c r="B622" s="171">
        <v>0</v>
      </c>
      <c r="C622" s="168">
        <f t="shared" si="33"/>
        <v>0</v>
      </c>
      <c r="D622" s="168">
        <v>0</v>
      </c>
    </row>
    <row r="623" spans="1:4" ht="15.5">
      <c r="A623" s="171" t="s">
        <v>741</v>
      </c>
      <c r="B623" s="171">
        <v>0</v>
      </c>
      <c r="C623" s="168">
        <f t="shared" si="33"/>
        <v>0</v>
      </c>
      <c r="D623" s="168">
        <v>0</v>
      </c>
    </row>
    <row r="624" spans="1:4" ht="31">
      <c r="A624" s="165" t="s">
        <v>627</v>
      </c>
      <c r="B624" s="165">
        <v>0</v>
      </c>
      <c r="C624" s="166">
        <f t="shared" si="33"/>
        <v>0</v>
      </c>
      <c r="D624" s="166">
        <v>0</v>
      </c>
    </row>
    <row r="625" spans="1:4" ht="31">
      <c r="A625" s="165" t="s">
        <v>628</v>
      </c>
      <c r="B625" s="165">
        <f>B616+B624</f>
        <v>35312857.885182306</v>
      </c>
      <c r="C625" s="166">
        <f>B625*1.05</f>
        <v>37078500.779441424</v>
      </c>
      <c r="D625" s="166">
        <f>C625*1.05</f>
        <v>38932425.818413496</v>
      </c>
    </row>
    <row r="626" spans="1:4" ht="15.5">
      <c r="A626" s="165" t="s">
        <v>672</v>
      </c>
      <c r="B626" s="165"/>
      <c r="C626" s="187"/>
      <c r="D626" s="194"/>
    </row>
    <row r="627" spans="1:4" ht="31">
      <c r="A627" s="175" t="s">
        <v>629</v>
      </c>
      <c r="B627" s="175" t="s">
        <v>424</v>
      </c>
      <c r="C627" s="176" t="s">
        <v>12</v>
      </c>
      <c r="D627" s="176" t="s">
        <v>426</v>
      </c>
    </row>
    <row r="628" spans="1:4" ht="15.5">
      <c r="A628" s="165" t="s">
        <v>29</v>
      </c>
      <c r="B628" s="165">
        <f>SUM(B629:B630)</f>
        <v>2210103.0920201191</v>
      </c>
      <c r="C628" s="166">
        <f>B628*1.05</f>
        <v>2320608.2466211249</v>
      </c>
      <c r="D628" s="166">
        <f>C628*1.05</f>
        <v>2436638.6589521812</v>
      </c>
    </row>
    <row r="629" spans="1:4" ht="15.5">
      <c r="A629" s="208" t="s">
        <v>82</v>
      </c>
      <c r="B629" s="208">
        <v>1323586.61364727</v>
      </c>
      <c r="C629" s="168">
        <f t="shared" ref="C629:D660" si="34">B629*1.05</f>
        <v>1389765.9443296336</v>
      </c>
      <c r="D629" s="168">
        <f t="shared" si="34"/>
        <v>1459254.2415461154</v>
      </c>
    </row>
    <row r="630" spans="1:4" ht="15.5">
      <c r="A630" s="208" t="s">
        <v>83</v>
      </c>
      <c r="B630" s="208">
        <v>886516.47837284894</v>
      </c>
      <c r="C630" s="168">
        <f t="shared" si="34"/>
        <v>930842.30229149142</v>
      </c>
      <c r="D630" s="168">
        <f t="shared" si="34"/>
        <v>977384.41740606609</v>
      </c>
    </row>
    <row r="631" spans="1:4" ht="15.5">
      <c r="A631" s="165" t="s">
        <v>126</v>
      </c>
      <c r="B631" s="165">
        <f>SUM(B632:B634)</f>
        <v>276508.46470039198</v>
      </c>
      <c r="C631" s="166">
        <f t="shared" si="34"/>
        <v>290333.88793541159</v>
      </c>
      <c r="D631" s="166">
        <f t="shared" si="34"/>
        <v>304850.58233218221</v>
      </c>
    </row>
    <row r="632" spans="1:4" ht="15.5">
      <c r="A632" s="167" t="s">
        <v>84</v>
      </c>
      <c r="B632" s="167">
        <v>156508.46470039201</v>
      </c>
      <c r="C632" s="168">
        <f t="shared" si="34"/>
        <v>164333.88793541162</v>
      </c>
      <c r="D632" s="168">
        <f t="shared" si="34"/>
        <v>172550.58233218221</v>
      </c>
    </row>
    <row r="633" spans="1:4" ht="15.5">
      <c r="A633" s="167" t="s">
        <v>85</v>
      </c>
      <c r="B633" s="167">
        <v>120000</v>
      </c>
      <c r="C633" s="168">
        <f t="shared" si="34"/>
        <v>126000</v>
      </c>
      <c r="D633" s="168">
        <f t="shared" si="34"/>
        <v>132300</v>
      </c>
    </row>
    <row r="634" spans="1:4" ht="15.5">
      <c r="A634" s="167" t="s">
        <v>35</v>
      </c>
      <c r="B634" s="167">
        <v>0</v>
      </c>
      <c r="C634" s="168">
        <f t="shared" si="34"/>
        <v>0</v>
      </c>
      <c r="D634" s="168">
        <f t="shared" si="34"/>
        <v>0</v>
      </c>
    </row>
    <row r="635" spans="1:4" ht="31">
      <c r="A635" s="165" t="s">
        <v>36</v>
      </c>
      <c r="B635" s="165">
        <f>SUM(B636:B638)</f>
        <v>1500000</v>
      </c>
      <c r="C635" s="166">
        <f t="shared" si="34"/>
        <v>1575000</v>
      </c>
      <c r="D635" s="166">
        <f t="shared" si="34"/>
        <v>1653750</v>
      </c>
    </row>
    <row r="636" spans="1:4" ht="15.5">
      <c r="A636" s="167" t="s">
        <v>86</v>
      </c>
      <c r="B636" s="167">
        <v>150000</v>
      </c>
      <c r="C636" s="168">
        <f t="shared" si="34"/>
        <v>157500</v>
      </c>
      <c r="D636" s="168">
        <f t="shared" si="34"/>
        <v>165375</v>
      </c>
    </row>
    <row r="637" spans="1:4" ht="15.5">
      <c r="A637" s="167" t="s">
        <v>87</v>
      </c>
      <c r="B637" s="167">
        <v>450000</v>
      </c>
      <c r="C637" s="168">
        <f t="shared" si="34"/>
        <v>472500</v>
      </c>
      <c r="D637" s="168">
        <f t="shared" si="34"/>
        <v>496125</v>
      </c>
    </row>
    <row r="638" spans="1:4" ht="15.5">
      <c r="A638" s="167" t="s">
        <v>88</v>
      </c>
      <c r="B638" s="167">
        <v>900000</v>
      </c>
      <c r="C638" s="168">
        <f t="shared" si="34"/>
        <v>945000</v>
      </c>
      <c r="D638" s="168">
        <f t="shared" si="34"/>
        <v>992250</v>
      </c>
    </row>
    <row r="639" spans="1:4" ht="31">
      <c r="A639" s="171" t="s">
        <v>89</v>
      </c>
      <c r="B639" s="171">
        <v>0</v>
      </c>
      <c r="C639" s="168">
        <f t="shared" si="34"/>
        <v>0</v>
      </c>
      <c r="D639" s="168">
        <f t="shared" si="34"/>
        <v>0</v>
      </c>
    </row>
    <row r="640" spans="1:4" ht="15.5">
      <c r="A640" s="167" t="s">
        <v>90</v>
      </c>
      <c r="B640" s="167">
        <v>0</v>
      </c>
      <c r="C640" s="168">
        <f t="shared" si="34"/>
        <v>0</v>
      </c>
      <c r="D640" s="168">
        <f t="shared" si="34"/>
        <v>0</v>
      </c>
    </row>
    <row r="641" spans="1:4" ht="15.5">
      <c r="A641" s="167" t="s">
        <v>673</v>
      </c>
      <c r="B641" s="167">
        <v>0</v>
      </c>
      <c r="C641" s="168">
        <f t="shared" si="34"/>
        <v>0</v>
      </c>
      <c r="D641" s="168">
        <f t="shared" si="34"/>
        <v>0</v>
      </c>
    </row>
    <row r="642" spans="1:4" ht="15.5">
      <c r="A642" s="167" t="s">
        <v>41</v>
      </c>
      <c r="B642" s="167">
        <v>0</v>
      </c>
      <c r="C642" s="168">
        <f t="shared" si="34"/>
        <v>0</v>
      </c>
      <c r="D642" s="168">
        <f t="shared" si="34"/>
        <v>0</v>
      </c>
    </row>
    <row r="643" spans="1:4" ht="31">
      <c r="A643" s="165" t="s">
        <v>91</v>
      </c>
      <c r="B643" s="165">
        <f>B644</f>
        <v>262671.54914751102</v>
      </c>
      <c r="C643" s="166">
        <f t="shared" si="34"/>
        <v>275805.12660488661</v>
      </c>
      <c r="D643" s="166">
        <f t="shared" si="34"/>
        <v>289595.38293513097</v>
      </c>
    </row>
    <row r="644" spans="1:4" ht="15.5">
      <c r="A644" s="167" t="s">
        <v>44</v>
      </c>
      <c r="B644" s="167">
        <v>262671.54914751102</v>
      </c>
      <c r="C644" s="168">
        <f t="shared" si="34"/>
        <v>275805.12660488661</v>
      </c>
      <c r="D644" s="168">
        <f t="shared" si="34"/>
        <v>289595.38293513097</v>
      </c>
    </row>
    <row r="645" spans="1:4" ht="15.5">
      <c r="A645" s="167" t="s">
        <v>165</v>
      </c>
      <c r="B645" s="167">
        <v>0</v>
      </c>
      <c r="C645" s="168">
        <f t="shared" si="34"/>
        <v>0</v>
      </c>
      <c r="D645" s="168">
        <f t="shared" si="34"/>
        <v>0</v>
      </c>
    </row>
    <row r="646" spans="1:4" ht="15.5">
      <c r="A646" s="167" t="s">
        <v>45</v>
      </c>
      <c r="B646" s="167">
        <v>0</v>
      </c>
      <c r="C646" s="168">
        <f t="shared" si="34"/>
        <v>0</v>
      </c>
      <c r="D646" s="168">
        <f t="shared" si="34"/>
        <v>0</v>
      </c>
    </row>
    <row r="647" spans="1:4" ht="15.5">
      <c r="A647" s="167" t="s">
        <v>46</v>
      </c>
      <c r="B647" s="167">
        <v>0</v>
      </c>
      <c r="C647" s="168">
        <f t="shared" si="34"/>
        <v>0</v>
      </c>
      <c r="D647" s="168">
        <f t="shared" si="34"/>
        <v>0</v>
      </c>
    </row>
    <row r="648" spans="1:4" ht="15.5">
      <c r="A648" s="171" t="s">
        <v>718</v>
      </c>
      <c r="B648" s="171">
        <v>0</v>
      </c>
      <c r="C648" s="168">
        <f t="shared" si="34"/>
        <v>0</v>
      </c>
      <c r="D648" s="168">
        <f t="shared" si="34"/>
        <v>0</v>
      </c>
    </row>
    <row r="649" spans="1:4" ht="15.5">
      <c r="A649" s="167" t="s">
        <v>719</v>
      </c>
      <c r="B649" s="167">
        <v>0</v>
      </c>
      <c r="C649" s="168">
        <f t="shared" si="34"/>
        <v>0</v>
      </c>
      <c r="D649" s="168">
        <f t="shared" si="34"/>
        <v>0</v>
      </c>
    </row>
    <row r="650" spans="1:4" ht="15.5">
      <c r="A650" s="171" t="s">
        <v>47</v>
      </c>
      <c r="B650" s="171">
        <v>0</v>
      </c>
      <c r="C650" s="168">
        <f t="shared" si="34"/>
        <v>0</v>
      </c>
      <c r="D650" s="168">
        <f t="shared" si="34"/>
        <v>0</v>
      </c>
    </row>
    <row r="651" spans="1:4" ht="15.5">
      <c r="A651" s="167" t="s">
        <v>93</v>
      </c>
      <c r="B651" s="167">
        <v>0</v>
      </c>
      <c r="C651" s="168">
        <f t="shared" si="34"/>
        <v>0</v>
      </c>
      <c r="D651" s="168">
        <f t="shared" si="34"/>
        <v>0</v>
      </c>
    </row>
    <row r="652" spans="1:4" ht="15.5">
      <c r="A652" s="167" t="s">
        <v>94</v>
      </c>
      <c r="B652" s="167">
        <v>0</v>
      </c>
      <c r="C652" s="168">
        <f t="shared" si="34"/>
        <v>0</v>
      </c>
      <c r="D652" s="168">
        <f t="shared" si="34"/>
        <v>0</v>
      </c>
    </row>
    <row r="653" spans="1:4" ht="15.5">
      <c r="A653" s="165" t="s">
        <v>49</v>
      </c>
      <c r="B653" s="165">
        <f>SUM(B654:B655)</f>
        <v>1150000</v>
      </c>
      <c r="C653" s="166">
        <f t="shared" si="34"/>
        <v>1207500</v>
      </c>
      <c r="D653" s="166">
        <f t="shared" si="34"/>
        <v>1267875</v>
      </c>
    </row>
    <row r="654" spans="1:4" ht="15.5">
      <c r="A654" s="167" t="s">
        <v>675</v>
      </c>
      <c r="B654" s="167">
        <v>400000</v>
      </c>
      <c r="C654" s="168">
        <f t="shared" si="34"/>
        <v>420000</v>
      </c>
      <c r="D654" s="168">
        <f t="shared" si="34"/>
        <v>441000</v>
      </c>
    </row>
    <row r="655" spans="1:4" ht="15.5">
      <c r="A655" s="167" t="s">
        <v>134</v>
      </c>
      <c r="B655" s="167">
        <v>750000</v>
      </c>
      <c r="C655" s="168">
        <f t="shared" si="34"/>
        <v>787500</v>
      </c>
      <c r="D655" s="168">
        <f t="shared" si="34"/>
        <v>826875</v>
      </c>
    </row>
    <row r="656" spans="1:4" ht="15.5">
      <c r="A656" s="171" t="s">
        <v>135</v>
      </c>
      <c r="B656" s="171">
        <v>0</v>
      </c>
      <c r="C656" s="168">
        <f t="shared" si="34"/>
        <v>0</v>
      </c>
      <c r="D656" s="168">
        <f t="shared" si="34"/>
        <v>0</v>
      </c>
    </row>
    <row r="657" spans="1:4" ht="15.5">
      <c r="A657" s="167" t="s">
        <v>54</v>
      </c>
      <c r="B657" s="167">
        <v>0</v>
      </c>
      <c r="C657" s="168">
        <f t="shared" si="34"/>
        <v>0</v>
      </c>
      <c r="D657" s="168">
        <f t="shared" si="34"/>
        <v>0</v>
      </c>
    </row>
    <row r="658" spans="1:4" ht="15.5">
      <c r="A658" s="165" t="s">
        <v>677</v>
      </c>
      <c r="B658" s="165">
        <f>SUM(B659:B667)</f>
        <v>26068634.193313159</v>
      </c>
      <c r="C658" s="166">
        <f t="shared" si="34"/>
        <v>27372065.902978819</v>
      </c>
      <c r="D658" s="166">
        <f t="shared" si="34"/>
        <v>28740669.198127761</v>
      </c>
    </row>
    <row r="659" spans="1:4" ht="15.5">
      <c r="A659" s="167" t="s">
        <v>678</v>
      </c>
      <c r="B659" s="167">
        <v>6500000</v>
      </c>
      <c r="C659" s="168">
        <f t="shared" si="34"/>
        <v>6825000</v>
      </c>
      <c r="D659" s="168">
        <f t="shared" si="34"/>
        <v>7166250</v>
      </c>
    </row>
    <row r="660" spans="1:4" ht="31">
      <c r="A660" s="209" t="s">
        <v>679</v>
      </c>
      <c r="B660" s="209">
        <v>8000000</v>
      </c>
      <c r="C660" s="168">
        <f t="shared" si="34"/>
        <v>8400000</v>
      </c>
      <c r="D660" s="168">
        <f t="shared" si="34"/>
        <v>8820000</v>
      </c>
    </row>
    <row r="661" spans="1:4" ht="15.5">
      <c r="A661" s="167" t="s">
        <v>137</v>
      </c>
      <c r="B661" s="167">
        <v>400000</v>
      </c>
      <c r="C661" s="168">
        <f t="shared" ref="C661:D692" si="35">B661*1.05</f>
        <v>420000</v>
      </c>
      <c r="D661" s="168">
        <f t="shared" si="35"/>
        <v>441000</v>
      </c>
    </row>
    <row r="662" spans="1:4" ht="15.5">
      <c r="A662" s="167" t="s">
        <v>680</v>
      </c>
      <c r="B662" s="167">
        <v>268634.19331315899</v>
      </c>
      <c r="C662" s="168">
        <f t="shared" si="35"/>
        <v>282065.90297881694</v>
      </c>
      <c r="D662" s="168">
        <f t="shared" si="35"/>
        <v>296169.19812775782</v>
      </c>
    </row>
    <row r="663" spans="1:4" ht="15.5">
      <c r="A663" s="167" t="s">
        <v>681</v>
      </c>
      <c r="B663" s="167">
        <v>4500000</v>
      </c>
      <c r="C663" s="168">
        <f t="shared" si="35"/>
        <v>4725000</v>
      </c>
      <c r="D663" s="168">
        <f t="shared" si="35"/>
        <v>4961250</v>
      </c>
    </row>
    <row r="664" spans="1:4" ht="15.5">
      <c r="A664" s="167" t="s">
        <v>682</v>
      </c>
      <c r="B664" s="167">
        <v>4900000</v>
      </c>
      <c r="C664" s="168">
        <f t="shared" si="35"/>
        <v>5145000</v>
      </c>
      <c r="D664" s="168">
        <f t="shared" si="35"/>
        <v>5402250</v>
      </c>
    </row>
    <row r="665" spans="1:4" ht="15.5">
      <c r="A665" s="167" t="s">
        <v>720</v>
      </c>
      <c r="B665" s="167">
        <v>400000</v>
      </c>
      <c r="C665" s="168">
        <f t="shared" si="35"/>
        <v>420000</v>
      </c>
      <c r="D665" s="168">
        <f t="shared" si="35"/>
        <v>441000</v>
      </c>
    </row>
    <row r="666" spans="1:4" ht="15.5">
      <c r="A666" s="167" t="s">
        <v>683</v>
      </c>
      <c r="B666" s="167">
        <v>600000</v>
      </c>
      <c r="C666" s="168">
        <f t="shared" si="35"/>
        <v>630000</v>
      </c>
      <c r="D666" s="168">
        <f t="shared" si="35"/>
        <v>661500</v>
      </c>
    </row>
    <row r="667" spans="1:4" ht="15.5">
      <c r="A667" s="167" t="s">
        <v>722</v>
      </c>
      <c r="B667" s="167">
        <v>500000</v>
      </c>
      <c r="C667" s="168">
        <f t="shared" si="35"/>
        <v>525000</v>
      </c>
      <c r="D667" s="168">
        <f t="shared" si="35"/>
        <v>551250</v>
      </c>
    </row>
    <row r="668" spans="1:4" ht="31">
      <c r="A668" s="165" t="s">
        <v>55</v>
      </c>
      <c r="B668" s="165">
        <f>SUM(B669:B671)</f>
        <v>900000</v>
      </c>
      <c r="C668" s="166">
        <f t="shared" si="35"/>
        <v>945000</v>
      </c>
      <c r="D668" s="166">
        <f t="shared" si="35"/>
        <v>992250</v>
      </c>
    </row>
    <row r="669" spans="1:4" ht="15.5">
      <c r="A669" s="167" t="s">
        <v>685</v>
      </c>
      <c r="B669" s="167">
        <v>300000</v>
      </c>
      <c r="C669" s="168">
        <f t="shared" si="35"/>
        <v>315000</v>
      </c>
      <c r="D669" s="168">
        <f t="shared" si="35"/>
        <v>330750</v>
      </c>
    </row>
    <row r="670" spans="1:4" ht="15.5">
      <c r="A670" s="167" t="s">
        <v>167</v>
      </c>
      <c r="B670" s="167">
        <v>200000</v>
      </c>
      <c r="C670" s="168">
        <f t="shared" si="35"/>
        <v>210000</v>
      </c>
      <c r="D670" s="168">
        <f t="shared" si="35"/>
        <v>220500</v>
      </c>
    </row>
    <row r="671" spans="1:4" ht="15.5">
      <c r="A671" s="167" t="s">
        <v>57</v>
      </c>
      <c r="B671" s="167">
        <v>400000</v>
      </c>
      <c r="C671" s="168">
        <f t="shared" si="35"/>
        <v>420000</v>
      </c>
      <c r="D671" s="168">
        <f t="shared" si="35"/>
        <v>441000</v>
      </c>
    </row>
    <row r="672" spans="1:4" ht="15.5">
      <c r="A672" s="165" t="s">
        <v>58</v>
      </c>
      <c r="B672" s="165">
        <f>SUM(B673:B674)</f>
        <v>800000</v>
      </c>
      <c r="C672" s="166">
        <f t="shared" si="35"/>
        <v>840000</v>
      </c>
      <c r="D672" s="166">
        <f t="shared" si="35"/>
        <v>882000</v>
      </c>
    </row>
    <row r="673" spans="1:4" ht="15.5">
      <c r="A673" s="167" t="s">
        <v>102</v>
      </c>
      <c r="B673" s="167">
        <v>550000</v>
      </c>
      <c r="C673" s="168">
        <f t="shared" si="35"/>
        <v>577500</v>
      </c>
      <c r="D673" s="168">
        <f t="shared" si="35"/>
        <v>606375</v>
      </c>
    </row>
    <row r="674" spans="1:4" ht="15.5">
      <c r="A674" s="167" t="s">
        <v>723</v>
      </c>
      <c r="B674" s="167">
        <v>250000</v>
      </c>
      <c r="C674" s="168">
        <f t="shared" si="35"/>
        <v>262500</v>
      </c>
      <c r="D674" s="168">
        <f t="shared" si="35"/>
        <v>275625</v>
      </c>
    </row>
    <row r="675" spans="1:4" ht="15.5">
      <c r="A675" s="210" t="s">
        <v>60</v>
      </c>
      <c r="B675" s="210">
        <f>SUM(B676:B681)</f>
        <v>500000</v>
      </c>
      <c r="C675" s="166">
        <f t="shared" si="35"/>
        <v>525000</v>
      </c>
      <c r="D675" s="166">
        <f t="shared" si="35"/>
        <v>551250</v>
      </c>
    </row>
    <row r="676" spans="1:4" ht="15.5">
      <c r="A676" s="167" t="s">
        <v>724</v>
      </c>
      <c r="B676" s="167">
        <v>50000</v>
      </c>
      <c r="C676" s="168">
        <f t="shared" si="35"/>
        <v>52500</v>
      </c>
      <c r="D676" s="168">
        <f t="shared" si="35"/>
        <v>55125</v>
      </c>
    </row>
    <row r="677" spans="1:4" ht="15.5">
      <c r="A677" s="167" t="s">
        <v>725</v>
      </c>
      <c r="B677" s="167">
        <v>450000</v>
      </c>
      <c r="C677" s="168">
        <f t="shared" si="35"/>
        <v>472500</v>
      </c>
      <c r="D677" s="168">
        <f t="shared" si="35"/>
        <v>496125</v>
      </c>
    </row>
    <row r="678" spans="1:4" ht="15.5">
      <c r="A678" s="167" t="s">
        <v>103</v>
      </c>
      <c r="B678" s="167">
        <v>0</v>
      </c>
      <c r="C678" s="168">
        <f t="shared" si="35"/>
        <v>0</v>
      </c>
      <c r="D678" s="168">
        <f t="shared" si="35"/>
        <v>0</v>
      </c>
    </row>
    <row r="679" spans="1:4" ht="15.5">
      <c r="A679" s="167" t="s">
        <v>61</v>
      </c>
      <c r="B679" s="167">
        <v>0</v>
      </c>
      <c r="C679" s="168">
        <f t="shared" si="35"/>
        <v>0</v>
      </c>
      <c r="D679" s="168">
        <f t="shared" si="35"/>
        <v>0</v>
      </c>
    </row>
    <row r="680" spans="1:4" ht="15.5">
      <c r="A680" s="167" t="s">
        <v>726</v>
      </c>
      <c r="B680" s="167">
        <v>0</v>
      </c>
      <c r="C680" s="168">
        <f t="shared" si="35"/>
        <v>0</v>
      </c>
      <c r="D680" s="168">
        <f t="shared" si="35"/>
        <v>0</v>
      </c>
    </row>
    <row r="681" spans="1:4" ht="15.5">
      <c r="A681" s="167" t="s">
        <v>717</v>
      </c>
      <c r="B681" s="167">
        <v>0</v>
      </c>
      <c r="C681" s="168">
        <f t="shared" si="35"/>
        <v>0</v>
      </c>
      <c r="D681" s="168">
        <f t="shared" si="35"/>
        <v>0</v>
      </c>
    </row>
    <row r="682" spans="1:4" ht="31">
      <c r="A682" s="165" t="s">
        <v>64</v>
      </c>
      <c r="B682" s="165">
        <f>SUM(B683)</f>
        <v>1200000</v>
      </c>
      <c r="C682" s="166">
        <f t="shared" si="35"/>
        <v>1260000</v>
      </c>
      <c r="D682" s="166">
        <f t="shared" si="35"/>
        <v>1323000</v>
      </c>
    </row>
    <row r="683" spans="1:4" ht="15.5">
      <c r="A683" s="167" t="s">
        <v>65</v>
      </c>
      <c r="B683" s="167">
        <v>1200000</v>
      </c>
      <c r="C683" s="168">
        <f t="shared" si="35"/>
        <v>1260000</v>
      </c>
      <c r="D683" s="168">
        <f t="shared" si="35"/>
        <v>1323000</v>
      </c>
    </row>
    <row r="684" spans="1:4" ht="15.5">
      <c r="A684" s="165" t="s">
        <v>112</v>
      </c>
      <c r="B684" s="165">
        <f>SUM(B685:B689)</f>
        <v>1700000</v>
      </c>
      <c r="C684" s="166">
        <f t="shared" si="35"/>
        <v>1785000</v>
      </c>
      <c r="D684" s="166">
        <f t="shared" si="35"/>
        <v>1874250</v>
      </c>
    </row>
    <row r="685" spans="1:4" ht="15.5">
      <c r="A685" s="167" t="s">
        <v>113</v>
      </c>
      <c r="B685" s="167">
        <v>0</v>
      </c>
      <c r="C685" s="168">
        <f t="shared" si="35"/>
        <v>0</v>
      </c>
      <c r="D685" s="168">
        <f t="shared" si="35"/>
        <v>0</v>
      </c>
    </row>
    <row r="686" spans="1:4" ht="15.5">
      <c r="A686" s="167" t="s">
        <v>66</v>
      </c>
      <c r="B686" s="167">
        <v>100000</v>
      </c>
      <c r="C686" s="168">
        <f t="shared" si="35"/>
        <v>105000</v>
      </c>
      <c r="D686" s="168">
        <f t="shared" si="35"/>
        <v>110250</v>
      </c>
    </row>
    <row r="687" spans="1:4" ht="15.5">
      <c r="A687" s="167" t="s">
        <v>689</v>
      </c>
      <c r="B687" s="167">
        <v>0</v>
      </c>
      <c r="C687" s="168">
        <f t="shared" si="35"/>
        <v>0</v>
      </c>
      <c r="D687" s="168">
        <f t="shared" si="35"/>
        <v>0</v>
      </c>
    </row>
    <row r="688" spans="1:4" ht="15.5">
      <c r="A688" s="167" t="s">
        <v>142</v>
      </c>
      <c r="B688" s="167">
        <v>1500000</v>
      </c>
      <c r="C688" s="168">
        <f t="shared" si="35"/>
        <v>1575000</v>
      </c>
      <c r="D688" s="168">
        <f t="shared" si="35"/>
        <v>1653750</v>
      </c>
    </row>
    <row r="689" spans="1:4" ht="15.5">
      <c r="A689" s="167" t="s">
        <v>67</v>
      </c>
      <c r="B689" s="167">
        <v>100000</v>
      </c>
      <c r="C689" s="168">
        <f t="shared" si="35"/>
        <v>105000</v>
      </c>
      <c r="D689" s="168">
        <f t="shared" si="35"/>
        <v>110250</v>
      </c>
    </row>
    <row r="690" spans="1:4" ht="15.5">
      <c r="A690" s="165" t="s">
        <v>727</v>
      </c>
      <c r="B690" s="165">
        <f>SUM(B691)</f>
        <v>50000</v>
      </c>
      <c r="C690" s="166">
        <f t="shared" si="35"/>
        <v>52500</v>
      </c>
      <c r="D690" s="166">
        <f t="shared" si="35"/>
        <v>55125</v>
      </c>
    </row>
    <row r="691" spans="1:4" ht="15.5">
      <c r="A691" s="167" t="s">
        <v>694</v>
      </c>
      <c r="B691" s="167">
        <v>50000</v>
      </c>
      <c r="C691" s="168">
        <f t="shared" si="35"/>
        <v>52500</v>
      </c>
      <c r="D691" s="168">
        <f t="shared" si="35"/>
        <v>55125</v>
      </c>
    </row>
    <row r="692" spans="1:4" ht="31">
      <c r="A692" s="165" t="s">
        <v>115</v>
      </c>
      <c r="B692" s="165">
        <f>SUM(B693:B695)</f>
        <v>900000</v>
      </c>
      <c r="C692" s="166">
        <f t="shared" si="35"/>
        <v>945000</v>
      </c>
      <c r="D692" s="166">
        <f t="shared" si="35"/>
        <v>992250</v>
      </c>
    </row>
    <row r="693" spans="1:4" ht="15.5">
      <c r="A693" s="167" t="s">
        <v>69</v>
      </c>
      <c r="B693" s="167">
        <v>250000</v>
      </c>
      <c r="C693" s="168">
        <f t="shared" ref="C693:D700" si="36">B693*1.05</f>
        <v>262500</v>
      </c>
      <c r="D693" s="168">
        <f t="shared" si="36"/>
        <v>275625</v>
      </c>
    </row>
    <row r="694" spans="1:4" ht="15.5">
      <c r="A694" s="167" t="s">
        <v>70</v>
      </c>
      <c r="B694" s="167">
        <v>450000</v>
      </c>
      <c r="C694" s="168">
        <f t="shared" si="36"/>
        <v>472500</v>
      </c>
      <c r="D694" s="168">
        <f t="shared" si="36"/>
        <v>496125</v>
      </c>
    </row>
    <row r="695" spans="1:4" ht="15.5">
      <c r="A695" s="167" t="s">
        <v>738</v>
      </c>
      <c r="B695" s="167">
        <v>200000</v>
      </c>
      <c r="C695" s="168">
        <f t="shared" si="36"/>
        <v>210000</v>
      </c>
      <c r="D695" s="168">
        <f t="shared" si="36"/>
        <v>220500</v>
      </c>
    </row>
    <row r="696" spans="1:4" ht="31">
      <c r="A696" s="165" t="s">
        <v>730</v>
      </c>
      <c r="B696" s="165">
        <v>0</v>
      </c>
      <c r="C696" s="166">
        <f t="shared" si="36"/>
        <v>0</v>
      </c>
      <c r="D696" s="166">
        <f t="shared" si="36"/>
        <v>0</v>
      </c>
    </row>
    <row r="697" spans="1:4" ht="15.5">
      <c r="A697" s="167" t="s">
        <v>731</v>
      </c>
      <c r="B697" s="167">
        <v>0</v>
      </c>
      <c r="C697" s="168">
        <f t="shared" si="36"/>
        <v>0</v>
      </c>
      <c r="D697" s="168">
        <f t="shared" si="36"/>
        <v>0</v>
      </c>
    </row>
    <row r="698" spans="1:4" ht="15.5">
      <c r="A698" s="167" t="s">
        <v>732</v>
      </c>
      <c r="B698" s="167">
        <v>0</v>
      </c>
      <c r="C698" s="168">
        <f t="shared" si="36"/>
        <v>0</v>
      </c>
      <c r="D698" s="168">
        <f t="shared" si="36"/>
        <v>0</v>
      </c>
    </row>
    <row r="699" spans="1:4" ht="15.5">
      <c r="A699" s="167" t="s">
        <v>733</v>
      </c>
      <c r="B699" s="167">
        <v>0</v>
      </c>
      <c r="C699" s="168">
        <f t="shared" si="36"/>
        <v>0</v>
      </c>
      <c r="D699" s="168">
        <f t="shared" si="36"/>
        <v>0</v>
      </c>
    </row>
    <row r="700" spans="1:4" ht="15.5">
      <c r="A700" s="165" t="s">
        <v>630</v>
      </c>
      <c r="B700" s="165">
        <f>B692+B690+B684+B682+B675+B672+B668+B658+B653+B643+B635+B631+B628</f>
        <v>37517917.299181178</v>
      </c>
      <c r="C700" s="166">
        <f t="shared" si="36"/>
        <v>39393813.164140239</v>
      </c>
      <c r="D700" s="166">
        <f t="shared" si="36"/>
        <v>41363503.822347254</v>
      </c>
    </row>
    <row r="701" spans="1:4" ht="15.5">
      <c r="A701" s="179" t="s">
        <v>672</v>
      </c>
      <c r="B701" s="179"/>
      <c r="C701" s="168">
        <f t="shared" ref="C701:C709" si="37">SUM(B701:B701)</f>
        <v>0</v>
      </c>
      <c r="D701" s="194"/>
    </row>
    <row r="702" spans="1:4" ht="15.5">
      <c r="A702" s="179" t="s">
        <v>672</v>
      </c>
      <c r="B702" s="179"/>
      <c r="C702" s="168">
        <f t="shared" si="37"/>
        <v>0</v>
      </c>
      <c r="D702" s="194"/>
    </row>
    <row r="703" spans="1:4" ht="15.5">
      <c r="A703" s="179" t="s">
        <v>153</v>
      </c>
      <c r="B703" s="179"/>
      <c r="C703" s="168">
        <f t="shared" si="37"/>
        <v>0</v>
      </c>
      <c r="D703" s="194"/>
    </row>
    <row r="704" spans="1:4" ht="15.5">
      <c r="A704" s="179" t="s">
        <v>739</v>
      </c>
      <c r="B704" s="179">
        <v>0</v>
      </c>
      <c r="C704" s="168">
        <f t="shared" si="37"/>
        <v>0</v>
      </c>
      <c r="D704" s="180">
        <v>0</v>
      </c>
    </row>
    <row r="705" spans="1:4" ht="15.5">
      <c r="A705" s="179" t="s">
        <v>156</v>
      </c>
      <c r="B705" s="179">
        <v>0</v>
      </c>
      <c r="C705" s="168">
        <f t="shared" si="37"/>
        <v>0</v>
      </c>
      <c r="D705" s="180">
        <v>0</v>
      </c>
    </row>
    <row r="706" spans="1:4" ht="15.5">
      <c r="A706" s="179" t="s">
        <v>694</v>
      </c>
      <c r="B706" s="179">
        <v>0</v>
      </c>
      <c r="C706" s="168">
        <f t="shared" si="37"/>
        <v>0</v>
      </c>
      <c r="D706" s="180">
        <v>0</v>
      </c>
    </row>
    <row r="707" spans="1:4" ht="15.5">
      <c r="A707" s="179" t="s">
        <v>742</v>
      </c>
      <c r="B707" s="179">
        <v>0</v>
      </c>
      <c r="C707" s="168">
        <f t="shared" si="37"/>
        <v>0</v>
      </c>
      <c r="D707" s="180">
        <v>0</v>
      </c>
    </row>
    <row r="708" spans="1:4" ht="15.5">
      <c r="A708" s="179" t="s">
        <v>741</v>
      </c>
      <c r="B708" s="179">
        <v>0</v>
      </c>
      <c r="C708" s="168">
        <f t="shared" si="37"/>
        <v>0</v>
      </c>
      <c r="D708" s="180">
        <v>0</v>
      </c>
    </row>
    <row r="709" spans="1:4" ht="15.5">
      <c r="A709" s="179" t="s">
        <v>631</v>
      </c>
      <c r="B709" s="179">
        <v>0</v>
      </c>
      <c r="C709" s="168">
        <f t="shared" si="37"/>
        <v>0</v>
      </c>
      <c r="D709" s="180">
        <v>0</v>
      </c>
    </row>
    <row r="710" spans="1:4" ht="15.5">
      <c r="A710" s="179" t="s">
        <v>632</v>
      </c>
      <c r="B710" s="179">
        <f>B700+B709</f>
        <v>37517917.299181178</v>
      </c>
      <c r="C710" s="166">
        <f>B710*1.05</f>
        <v>39393813.164140239</v>
      </c>
      <c r="D710" s="166">
        <f>C710*1.05</f>
        <v>41363503.822347254</v>
      </c>
    </row>
    <row r="711" spans="1:4" ht="15.5">
      <c r="A711" s="179" t="s">
        <v>672</v>
      </c>
      <c r="B711" s="179"/>
      <c r="C711" s="194"/>
      <c r="D711" s="194"/>
    </row>
    <row r="712" spans="1:4" ht="31">
      <c r="A712" s="175" t="s">
        <v>633</v>
      </c>
      <c r="B712" s="175" t="s">
        <v>424</v>
      </c>
      <c r="C712" s="176" t="s">
        <v>12</v>
      </c>
      <c r="D712" s="176" t="s">
        <v>426</v>
      </c>
    </row>
    <row r="713" spans="1:4" ht="15.5">
      <c r="A713" s="175" t="s">
        <v>620</v>
      </c>
      <c r="B713" s="175"/>
      <c r="C713" s="168">
        <f t="shared" ref="C713:C722" si="38">SUM(B713:B713)</f>
        <v>0</v>
      </c>
      <c r="D713" s="176"/>
    </row>
    <row r="714" spans="1:4" ht="15.5">
      <c r="A714" s="171" t="s">
        <v>666</v>
      </c>
      <c r="B714" s="171">
        <v>0</v>
      </c>
      <c r="C714" s="168">
        <f t="shared" si="38"/>
        <v>0</v>
      </c>
      <c r="D714" s="194"/>
    </row>
    <row r="715" spans="1:4" ht="15.5">
      <c r="A715" s="171" t="s">
        <v>81</v>
      </c>
      <c r="B715" s="171">
        <v>0</v>
      </c>
      <c r="C715" s="168">
        <f t="shared" si="38"/>
        <v>0</v>
      </c>
      <c r="D715" s="194"/>
    </row>
    <row r="716" spans="1:4" ht="15.5">
      <c r="A716" s="165" t="s">
        <v>668</v>
      </c>
      <c r="B716" s="165">
        <v>0</v>
      </c>
      <c r="C716" s="168">
        <f t="shared" si="38"/>
        <v>0</v>
      </c>
      <c r="D716" s="194"/>
    </row>
    <row r="717" spans="1:4" ht="15.5">
      <c r="A717" s="171" t="s">
        <v>712</v>
      </c>
      <c r="B717" s="171">
        <v>0</v>
      </c>
      <c r="C717" s="168">
        <f t="shared" si="38"/>
        <v>0</v>
      </c>
      <c r="D717" s="194"/>
    </row>
    <row r="718" spans="1:4" ht="31">
      <c r="A718" s="171" t="s">
        <v>713</v>
      </c>
      <c r="B718" s="171">
        <v>0</v>
      </c>
      <c r="C718" s="168">
        <f t="shared" si="38"/>
        <v>0</v>
      </c>
      <c r="D718" s="194"/>
    </row>
    <row r="719" spans="1:4" ht="15.5">
      <c r="A719" s="171" t="s">
        <v>714</v>
      </c>
      <c r="B719" s="171">
        <v>0</v>
      </c>
      <c r="C719" s="168">
        <f t="shared" si="38"/>
        <v>0</v>
      </c>
      <c r="D719" s="194"/>
    </row>
    <row r="720" spans="1:4" ht="15.5">
      <c r="A720" s="171" t="s">
        <v>715</v>
      </c>
      <c r="B720" s="171">
        <v>0</v>
      </c>
      <c r="C720" s="168">
        <f t="shared" si="38"/>
        <v>0</v>
      </c>
      <c r="D720" s="194"/>
    </row>
    <row r="721" spans="1:4" ht="31">
      <c r="A721" s="171" t="s">
        <v>716</v>
      </c>
      <c r="B721" s="171">
        <v>0</v>
      </c>
      <c r="C721" s="168">
        <f t="shared" si="38"/>
        <v>0</v>
      </c>
      <c r="D721" s="194"/>
    </row>
    <row r="722" spans="1:4" ht="15.5">
      <c r="A722" s="165" t="s">
        <v>717</v>
      </c>
      <c r="B722" s="165">
        <v>0</v>
      </c>
      <c r="C722" s="168">
        <f t="shared" si="38"/>
        <v>0</v>
      </c>
      <c r="D722" s="194"/>
    </row>
    <row r="723" spans="1:4" ht="15.5">
      <c r="A723" s="196" t="s">
        <v>29</v>
      </c>
      <c r="B723" s="196">
        <f>SUM(B724:B725)</f>
        <v>2000000</v>
      </c>
      <c r="C723" s="168">
        <f>B723*1.05</f>
        <v>2100000</v>
      </c>
      <c r="D723" s="168">
        <f>C723*1.05</f>
        <v>2205000</v>
      </c>
    </row>
    <row r="724" spans="1:4" ht="15.5">
      <c r="A724" s="211" t="s">
        <v>82</v>
      </c>
      <c r="B724" s="211">
        <v>1500000</v>
      </c>
      <c r="C724" s="168">
        <f t="shared" ref="C724:D755" si="39">B724*1.05</f>
        <v>1575000</v>
      </c>
      <c r="D724" s="168">
        <f t="shared" si="39"/>
        <v>1653750</v>
      </c>
    </row>
    <row r="725" spans="1:4" ht="15.5">
      <c r="A725" s="211" t="s">
        <v>83</v>
      </c>
      <c r="B725" s="211">
        <v>500000</v>
      </c>
      <c r="C725" s="168">
        <f t="shared" si="39"/>
        <v>525000</v>
      </c>
      <c r="D725" s="168">
        <f t="shared" si="39"/>
        <v>551250</v>
      </c>
    </row>
    <row r="726" spans="1:4" ht="15.5">
      <c r="A726" s="196" t="s">
        <v>126</v>
      </c>
      <c r="B726" s="196">
        <f>SUM(B727:B729)</f>
        <v>340000</v>
      </c>
      <c r="C726" s="168">
        <f t="shared" si="39"/>
        <v>357000</v>
      </c>
      <c r="D726" s="168">
        <f t="shared" si="39"/>
        <v>374850</v>
      </c>
    </row>
    <row r="727" spans="1:4" ht="15.5">
      <c r="A727" s="211" t="s">
        <v>84</v>
      </c>
      <c r="B727" s="211">
        <v>180000</v>
      </c>
      <c r="C727" s="168">
        <f t="shared" si="39"/>
        <v>189000</v>
      </c>
      <c r="D727" s="168">
        <f t="shared" si="39"/>
        <v>198450</v>
      </c>
    </row>
    <row r="728" spans="1:4" ht="15.5">
      <c r="A728" s="211" t="s">
        <v>85</v>
      </c>
      <c r="B728" s="211">
        <v>100000</v>
      </c>
      <c r="C728" s="168">
        <f t="shared" si="39"/>
        <v>105000</v>
      </c>
      <c r="D728" s="168">
        <f t="shared" si="39"/>
        <v>110250</v>
      </c>
    </row>
    <row r="729" spans="1:4" ht="15.5">
      <c r="A729" s="211" t="s">
        <v>35</v>
      </c>
      <c r="B729" s="211">
        <v>60000</v>
      </c>
      <c r="C729" s="168">
        <f t="shared" si="39"/>
        <v>63000</v>
      </c>
      <c r="D729" s="168">
        <f t="shared" si="39"/>
        <v>66150</v>
      </c>
    </row>
    <row r="730" spans="1:4" ht="15.5">
      <c r="A730" s="196" t="s">
        <v>36</v>
      </c>
      <c r="B730" s="196">
        <f>SUM(B731:B733)</f>
        <v>1200000</v>
      </c>
      <c r="C730" s="168">
        <f t="shared" si="39"/>
        <v>1260000</v>
      </c>
      <c r="D730" s="168">
        <f t="shared" si="39"/>
        <v>1323000</v>
      </c>
    </row>
    <row r="731" spans="1:4" ht="15.5">
      <c r="A731" s="211" t="s">
        <v>86</v>
      </c>
      <c r="B731" s="211">
        <v>200000</v>
      </c>
      <c r="C731" s="168">
        <f t="shared" si="39"/>
        <v>210000</v>
      </c>
      <c r="D731" s="168">
        <f t="shared" si="39"/>
        <v>220500</v>
      </c>
    </row>
    <row r="732" spans="1:4" ht="15.5">
      <c r="A732" s="211" t="s">
        <v>87</v>
      </c>
      <c r="B732" s="211">
        <v>300000</v>
      </c>
      <c r="C732" s="168">
        <f t="shared" si="39"/>
        <v>315000</v>
      </c>
      <c r="D732" s="168">
        <f t="shared" si="39"/>
        <v>330750</v>
      </c>
    </row>
    <row r="733" spans="1:4" ht="15.5">
      <c r="A733" s="211" t="s">
        <v>88</v>
      </c>
      <c r="B733" s="211">
        <v>700000</v>
      </c>
      <c r="C733" s="168">
        <f t="shared" si="39"/>
        <v>735000</v>
      </c>
      <c r="D733" s="168">
        <f t="shared" si="39"/>
        <v>771750</v>
      </c>
    </row>
    <row r="734" spans="1:4" ht="15.5">
      <c r="A734" s="196" t="s">
        <v>89</v>
      </c>
      <c r="B734" s="196">
        <v>0</v>
      </c>
      <c r="C734" s="168">
        <f t="shared" si="39"/>
        <v>0</v>
      </c>
      <c r="D734" s="168">
        <f t="shared" si="39"/>
        <v>0</v>
      </c>
    </row>
    <row r="735" spans="1:4" ht="15.5">
      <c r="A735" s="195" t="s">
        <v>90</v>
      </c>
      <c r="B735" s="195">
        <v>0</v>
      </c>
      <c r="C735" s="168">
        <f t="shared" si="39"/>
        <v>0</v>
      </c>
      <c r="D735" s="168">
        <f t="shared" si="39"/>
        <v>0</v>
      </c>
    </row>
    <row r="736" spans="1:4" ht="15.5">
      <c r="A736" s="195" t="s">
        <v>673</v>
      </c>
      <c r="B736" s="195">
        <v>0</v>
      </c>
      <c r="C736" s="168">
        <f t="shared" si="39"/>
        <v>0</v>
      </c>
      <c r="D736" s="168">
        <f t="shared" si="39"/>
        <v>0</v>
      </c>
    </row>
    <row r="737" spans="1:4" ht="15.5">
      <c r="A737" s="195" t="s">
        <v>41</v>
      </c>
      <c r="B737" s="195">
        <v>0</v>
      </c>
      <c r="C737" s="168">
        <f t="shared" si="39"/>
        <v>0</v>
      </c>
      <c r="D737" s="168">
        <f t="shared" si="39"/>
        <v>0</v>
      </c>
    </row>
    <row r="738" spans="1:4" ht="15.5">
      <c r="A738" s="196" t="s">
        <v>91</v>
      </c>
      <c r="B738" s="196">
        <f>B739</f>
        <v>200000</v>
      </c>
      <c r="C738" s="168">
        <f t="shared" si="39"/>
        <v>210000</v>
      </c>
      <c r="D738" s="168">
        <f t="shared" si="39"/>
        <v>220500</v>
      </c>
    </row>
    <row r="739" spans="1:4" ht="15.5">
      <c r="A739" s="195" t="s">
        <v>44</v>
      </c>
      <c r="B739" s="195">
        <v>200000</v>
      </c>
      <c r="C739" s="168">
        <f t="shared" si="39"/>
        <v>210000</v>
      </c>
      <c r="D739" s="168">
        <f t="shared" si="39"/>
        <v>220500</v>
      </c>
    </row>
    <row r="740" spans="1:4" ht="15.5">
      <c r="A740" s="195" t="s">
        <v>165</v>
      </c>
      <c r="B740" s="195">
        <v>0</v>
      </c>
      <c r="C740" s="168">
        <f t="shared" si="39"/>
        <v>0</v>
      </c>
      <c r="D740" s="168">
        <f t="shared" si="39"/>
        <v>0</v>
      </c>
    </row>
    <row r="741" spans="1:4" ht="15.5">
      <c r="A741" s="195" t="s">
        <v>45</v>
      </c>
      <c r="B741" s="195">
        <v>0</v>
      </c>
      <c r="C741" s="168">
        <f t="shared" si="39"/>
        <v>0</v>
      </c>
      <c r="D741" s="168">
        <f t="shared" si="39"/>
        <v>0</v>
      </c>
    </row>
    <row r="742" spans="1:4" ht="15.5">
      <c r="A742" s="201" t="s">
        <v>46</v>
      </c>
      <c r="B742" s="201">
        <v>0</v>
      </c>
      <c r="C742" s="168">
        <f t="shared" si="39"/>
        <v>0</v>
      </c>
      <c r="D742" s="168">
        <f t="shared" si="39"/>
        <v>0</v>
      </c>
    </row>
    <row r="743" spans="1:4" ht="15.5">
      <c r="A743" s="196" t="s">
        <v>718</v>
      </c>
      <c r="B743" s="196">
        <v>0</v>
      </c>
      <c r="C743" s="168">
        <f t="shared" si="39"/>
        <v>0</v>
      </c>
      <c r="D743" s="168">
        <f t="shared" si="39"/>
        <v>0</v>
      </c>
    </row>
    <row r="744" spans="1:4" ht="15.5">
      <c r="A744" s="195" t="s">
        <v>719</v>
      </c>
      <c r="B744" s="195">
        <v>0</v>
      </c>
      <c r="C744" s="168">
        <f t="shared" si="39"/>
        <v>0</v>
      </c>
      <c r="D744" s="168">
        <f t="shared" si="39"/>
        <v>0</v>
      </c>
    </row>
    <row r="745" spans="1:4" ht="15.5">
      <c r="A745" s="195" t="s">
        <v>47</v>
      </c>
      <c r="B745" s="195">
        <v>0</v>
      </c>
      <c r="C745" s="168">
        <f t="shared" si="39"/>
        <v>0</v>
      </c>
      <c r="D745" s="168">
        <f t="shared" si="39"/>
        <v>0</v>
      </c>
    </row>
    <row r="746" spans="1:4" ht="15.5">
      <c r="A746" s="195" t="s">
        <v>93</v>
      </c>
      <c r="B746" s="195">
        <v>0</v>
      </c>
      <c r="C746" s="168">
        <f t="shared" si="39"/>
        <v>0</v>
      </c>
      <c r="D746" s="168">
        <f t="shared" si="39"/>
        <v>0</v>
      </c>
    </row>
    <row r="747" spans="1:4" ht="15.5">
      <c r="A747" s="195" t="s">
        <v>94</v>
      </c>
      <c r="B747" s="195">
        <v>0</v>
      </c>
      <c r="C747" s="168">
        <f t="shared" si="39"/>
        <v>0</v>
      </c>
      <c r="D747" s="168">
        <f t="shared" si="39"/>
        <v>0</v>
      </c>
    </row>
    <row r="748" spans="1:4" ht="15.5">
      <c r="A748" s="196" t="s">
        <v>49</v>
      </c>
      <c r="B748" s="196">
        <f>SUM(B749:B750)</f>
        <v>950000</v>
      </c>
      <c r="C748" s="168">
        <f t="shared" si="39"/>
        <v>997500</v>
      </c>
      <c r="D748" s="168">
        <f t="shared" si="39"/>
        <v>1047375</v>
      </c>
    </row>
    <row r="749" spans="1:4" ht="15.5">
      <c r="A749" s="211" t="s">
        <v>675</v>
      </c>
      <c r="B749" s="211">
        <v>200000</v>
      </c>
      <c r="C749" s="168">
        <f t="shared" si="39"/>
        <v>210000</v>
      </c>
      <c r="D749" s="168">
        <f t="shared" si="39"/>
        <v>220500</v>
      </c>
    </row>
    <row r="750" spans="1:4" ht="15.5">
      <c r="A750" s="211" t="s">
        <v>134</v>
      </c>
      <c r="B750" s="211">
        <v>750000</v>
      </c>
      <c r="C750" s="168">
        <f t="shared" si="39"/>
        <v>787500</v>
      </c>
      <c r="D750" s="168">
        <f t="shared" si="39"/>
        <v>826875</v>
      </c>
    </row>
    <row r="751" spans="1:4" ht="15.5">
      <c r="A751" s="201" t="s">
        <v>135</v>
      </c>
      <c r="B751" s="201">
        <v>0</v>
      </c>
      <c r="C751" s="168">
        <f t="shared" si="39"/>
        <v>0</v>
      </c>
      <c r="D751" s="168">
        <f t="shared" si="39"/>
        <v>0</v>
      </c>
    </row>
    <row r="752" spans="1:4" ht="15.5">
      <c r="A752" s="201" t="s">
        <v>54</v>
      </c>
      <c r="B752" s="201">
        <v>0</v>
      </c>
      <c r="C752" s="168">
        <f t="shared" si="39"/>
        <v>0</v>
      </c>
      <c r="D752" s="168">
        <f t="shared" si="39"/>
        <v>0</v>
      </c>
    </row>
    <row r="753" spans="1:4" ht="15.5">
      <c r="A753" s="196" t="s">
        <v>677</v>
      </c>
      <c r="B753" s="196">
        <f>SUM(B754:B763)</f>
        <v>22150000</v>
      </c>
      <c r="C753" s="168">
        <f t="shared" si="39"/>
        <v>23257500</v>
      </c>
      <c r="D753" s="168">
        <f t="shared" si="39"/>
        <v>24420375</v>
      </c>
    </row>
    <row r="754" spans="1:4" ht="15.5">
      <c r="A754" s="211" t="s">
        <v>678</v>
      </c>
      <c r="B754" s="211">
        <v>8000000</v>
      </c>
      <c r="C754" s="168">
        <f t="shared" si="39"/>
        <v>8400000</v>
      </c>
      <c r="D754" s="168">
        <f t="shared" si="39"/>
        <v>8820000</v>
      </c>
    </row>
    <row r="755" spans="1:4" ht="15.5">
      <c r="A755" s="211" t="s">
        <v>679</v>
      </c>
      <c r="B755" s="211">
        <v>6000000</v>
      </c>
      <c r="C755" s="168">
        <f t="shared" si="39"/>
        <v>6300000</v>
      </c>
      <c r="D755" s="168">
        <f t="shared" si="39"/>
        <v>6615000</v>
      </c>
    </row>
    <row r="756" spans="1:4" ht="15.5">
      <c r="A756" s="211" t="s">
        <v>137</v>
      </c>
      <c r="B756" s="211">
        <v>100000</v>
      </c>
      <c r="C756" s="168">
        <f t="shared" ref="C756:D784" si="40">B756*1.05</f>
        <v>105000</v>
      </c>
      <c r="D756" s="168">
        <f t="shared" si="40"/>
        <v>110250</v>
      </c>
    </row>
    <row r="757" spans="1:4" ht="15.5">
      <c r="A757" s="211" t="s">
        <v>680</v>
      </c>
      <c r="B757" s="211">
        <v>100000</v>
      </c>
      <c r="C757" s="168">
        <f t="shared" si="40"/>
        <v>105000</v>
      </c>
      <c r="D757" s="168">
        <f t="shared" si="40"/>
        <v>110250</v>
      </c>
    </row>
    <row r="758" spans="1:4" ht="15.5">
      <c r="A758" s="211" t="s">
        <v>681</v>
      </c>
      <c r="B758" s="211">
        <v>4000000</v>
      </c>
      <c r="C758" s="168">
        <f t="shared" si="40"/>
        <v>4200000</v>
      </c>
      <c r="D758" s="168">
        <f t="shared" si="40"/>
        <v>4410000</v>
      </c>
    </row>
    <row r="759" spans="1:4" ht="15.5">
      <c r="A759" s="211" t="s">
        <v>682</v>
      </c>
      <c r="B759" s="211">
        <v>3000000</v>
      </c>
      <c r="C759" s="168">
        <f t="shared" si="40"/>
        <v>3150000</v>
      </c>
      <c r="D759" s="168">
        <f t="shared" si="40"/>
        <v>3307500</v>
      </c>
    </row>
    <row r="760" spans="1:4" ht="15.5">
      <c r="A760" s="211" t="s">
        <v>720</v>
      </c>
      <c r="B760" s="211">
        <v>150000</v>
      </c>
      <c r="C760" s="168">
        <f t="shared" si="40"/>
        <v>157500</v>
      </c>
      <c r="D760" s="168">
        <f t="shared" si="40"/>
        <v>165375</v>
      </c>
    </row>
    <row r="761" spans="1:4" ht="15.5">
      <c r="A761" s="200" t="s">
        <v>721</v>
      </c>
      <c r="B761" s="200">
        <v>0</v>
      </c>
      <c r="C761" s="168">
        <f t="shared" si="40"/>
        <v>0</v>
      </c>
      <c r="D761" s="168">
        <f t="shared" si="40"/>
        <v>0</v>
      </c>
    </row>
    <row r="762" spans="1:4" ht="15.5">
      <c r="A762" s="211" t="s">
        <v>683</v>
      </c>
      <c r="B762" s="211">
        <v>600000</v>
      </c>
      <c r="C762" s="168">
        <f t="shared" si="40"/>
        <v>630000</v>
      </c>
      <c r="D762" s="168">
        <f t="shared" si="40"/>
        <v>661500</v>
      </c>
    </row>
    <row r="763" spans="1:4" ht="15.5">
      <c r="A763" s="211" t="s">
        <v>722</v>
      </c>
      <c r="B763" s="211">
        <v>200000</v>
      </c>
      <c r="C763" s="168">
        <f t="shared" si="40"/>
        <v>210000</v>
      </c>
      <c r="D763" s="168">
        <f t="shared" si="40"/>
        <v>220500</v>
      </c>
    </row>
    <row r="764" spans="1:4" ht="15.5">
      <c r="A764" s="196" t="s">
        <v>55</v>
      </c>
      <c r="B764" s="196">
        <f>SUM(B765:B767)</f>
        <v>1150000</v>
      </c>
      <c r="C764" s="168">
        <f t="shared" si="40"/>
        <v>1207500</v>
      </c>
      <c r="D764" s="168">
        <f t="shared" si="40"/>
        <v>1267875</v>
      </c>
    </row>
    <row r="765" spans="1:4" ht="15.5">
      <c r="A765" s="211" t="s">
        <v>685</v>
      </c>
      <c r="B765" s="211">
        <v>500000</v>
      </c>
      <c r="C765" s="168">
        <f t="shared" si="40"/>
        <v>525000</v>
      </c>
      <c r="D765" s="168">
        <f t="shared" si="40"/>
        <v>551250</v>
      </c>
    </row>
    <row r="766" spans="1:4" ht="15.5">
      <c r="A766" s="211" t="s">
        <v>167</v>
      </c>
      <c r="B766" s="211">
        <v>250000</v>
      </c>
      <c r="C766" s="168">
        <f t="shared" si="40"/>
        <v>262500</v>
      </c>
      <c r="D766" s="168">
        <f t="shared" si="40"/>
        <v>275625</v>
      </c>
    </row>
    <row r="767" spans="1:4" ht="15.5">
      <c r="A767" s="211" t="s">
        <v>57</v>
      </c>
      <c r="B767" s="211">
        <v>400000</v>
      </c>
      <c r="C767" s="168">
        <f t="shared" si="40"/>
        <v>420000</v>
      </c>
      <c r="D767" s="168">
        <f t="shared" si="40"/>
        <v>441000</v>
      </c>
    </row>
    <row r="768" spans="1:4" ht="15.5">
      <c r="A768" s="196" t="s">
        <v>58</v>
      </c>
      <c r="B768" s="196">
        <f>SUM(B769:B770)</f>
        <v>1800000</v>
      </c>
      <c r="C768" s="168">
        <f t="shared" si="40"/>
        <v>1890000</v>
      </c>
      <c r="D768" s="168">
        <f t="shared" si="40"/>
        <v>1984500</v>
      </c>
    </row>
    <row r="769" spans="1:4" ht="15.5">
      <c r="A769" s="211" t="s">
        <v>102</v>
      </c>
      <c r="B769" s="211">
        <v>1500000</v>
      </c>
      <c r="C769" s="168">
        <f t="shared" si="40"/>
        <v>1575000</v>
      </c>
      <c r="D769" s="168">
        <f t="shared" si="40"/>
        <v>1653750</v>
      </c>
    </row>
    <row r="770" spans="1:4" ht="15.5">
      <c r="A770" s="211" t="s">
        <v>723</v>
      </c>
      <c r="B770" s="211">
        <v>300000</v>
      </c>
      <c r="C770" s="168">
        <f t="shared" si="40"/>
        <v>315000</v>
      </c>
      <c r="D770" s="168">
        <f t="shared" si="40"/>
        <v>330750</v>
      </c>
    </row>
    <row r="771" spans="1:4" ht="15.5">
      <c r="A771" s="196" t="s">
        <v>60</v>
      </c>
      <c r="B771" s="196">
        <f>SUM(B772:B776)</f>
        <v>1650000</v>
      </c>
      <c r="C771" s="168">
        <f t="shared" si="40"/>
        <v>1732500</v>
      </c>
      <c r="D771" s="168">
        <f t="shared" si="40"/>
        <v>1819125</v>
      </c>
    </row>
    <row r="772" spans="1:4" ht="15.5">
      <c r="A772" s="167" t="s">
        <v>724</v>
      </c>
      <c r="B772" s="167">
        <v>0</v>
      </c>
      <c r="C772" s="168">
        <f t="shared" si="40"/>
        <v>0</v>
      </c>
      <c r="D772" s="168">
        <f t="shared" si="40"/>
        <v>0</v>
      </c>
    </row>
    <row r="773" spans="1:4" ht="15.5">
      <c r="A773" s="211" t="s">
        <v>725</v>
      </c>
      <c r="B773" s="211">
        <v>850000</v>
      </c>
      <c r="C773" s="168">
        <f t="shared" si="40"/>
        <v>892500</v>
      </c>
      <c r="D773" s="168">
        <f t="shared" si="40"/>
        <v>937125</v>
      </c>
    </row>
    <row r="774" spans="1:4" ht="15.5">
      <c r="A774" s="195" t="s">
        <v>103</v>
      </c>
      <c r="B774" s="195">
        <v>800000</v>
      </c>
      <c r="C774" s="168">
        <f t="shared" si="40"/>
        <v>840000</v>
      </c>
      <c r="D774" s="168">
        <f t="shared" si="40"/>
        <v>882000</v>
      </c>
    </row>
    <row r="775" spans="1:4" ht="15.5">
      <c r="A775" s="195" t="s">
        <v>61</v>
      </c>
      <c r="B775" s="195">
        <v>0</v>
      </c>
      <c r="C775" s="168">
        <f t="shared" si="40"/>
        <v>0</v>
      </c>
      <c r="D775" s="168">
        <f t="shared" si="40"/>
        <v>0</v>
      </c>
    </row>
    <row r="776" spans="1:4" ht="15.5">
      <c r="A776" s="195" t="s">
        <v>726</v>
      </c>
      <c r="B776" s="195">
        <v>0</v>
      </c>
      <c r="C776" s="168">
        <f t="shared" si="40"/>
        <v>0</v>
      </c>
      <c r="D776" s="168">
        <f t="shared" si="40"/>
        <v>0</v>
      </c>
    </row>
    <row r="777" spans="1:4" ht="15.5">
      <c r="A777" s="196" t="s">
        <v>64</v>
      </c>
      <c r="B777" s="196">
        <f>B778</f>
        <v>600000</v>
      </c>
      <c r="C777" s="168">
        <f t="shared" si="40"/>
        <v>630000</v>
      </c>
      <c r="D777" s="168">
        <f t="shared" si="40"/>
        <v>661500</v>
      </c>
    </row>
    <row r="778" spans="1:4" ht="15.5">
      <c r="A778" s="211" t="s">
        <v>65</v>
      </c>
      <c r="B778" s="211">
        <v>600000</v>
      </c>
      <c r="C778" s="168">
        <f t="shared" si="40"/>
        <v>630000</v>
      </c>
      <c r="D778" s="168">
        <f t="shared" si="40"/>
        <v>661500</v>
      </c>
    </row>
    <row r="779" spans="1:4" ht="15.5">
      <c r="A779" s="196" t="s">
        <v>112</v>
      </c>
      <c r="B779" s="196">
        <f>SUM(B780:B784)</f>
        <v>1150000</v>
      </c>
      <c r="C779" s="168">
        <f t="shared" si="40"/>
        <v>1207500</v>
      </c>
      <c r="D779" s="168">
        <f t="shared" si="40"/>
        <v>1267875</v>
      </c>
    </row>
    <row r="780" spans="1:4" ht="15.5">
      <c r="A780" s="211" t="s">
        <v>113</v>
      </c>
      <c r="B780" s="211">
        <v>150000</v>
      </c>
      <c r="C780" s="168">
        <f t="shared" si="40"/>
        <v>157500</v>
      </c>
      <c r="D780" s="168">
        <f t="shared" si="40"/>
        <v>165375</v>
      </c>
    </row>
    <row r="781" spans="1:4" ht="15.5">
      <c r="A781" s="211" t="s">
        <v>66</v>
      </c>
      <c r="B781" s="211">
        <v>100000</v>
      </c>
      <c r="C781" s="168">
        <f t="shared" si="40"/>
        <v>105000</v>
      </c>
      <c r="D781" s="168">
        <f t="shared" si="40"/>
        <v>110250</v>
      </c>
    </row>
    <row r="782" spans="1:4" ht="15.5">
      <c r="A782" s="211" t="s">
        <v>689</v>
      </c>
      <c r="B782" s="211">
        <v>350000</v>
      </c>
      <c r="C782" s="168">
        <f t="shared" si="40"/>
        <v>367500</v>
      </c>
      <c r="D782" s="168">
        <f t="shared" si="40"/>
        <v>385875</v>
      </c>
    </row>
    <row r="783" spans="1:4" ht="15.5">
      <c r="A783" s="211" t="s">
        <v>142</v>
      </c>
      <c r="B783" s="211">
        <v>500000</v>
      </c>
      <c r="C783" s="168">
        <f t="shared" si="40"/>
        <v>525000</v>
      </c>
      <c r="D783" s="168">
        <f t="shared" si="40"/>
        <v>551250</v>
      </c>
    </row>
    <row r="784" spans="1:4" ht="15.5">
      <c r="A784" s="211" t="s">
        <v>67</v>
      </c>
      <c r="B784" s="211">
        <v>50000</v>
      </c>
      <c r="C784" s="168">
        <f t="shared" si="40"/>
        <v>52500</v>
      </c>
      <c r="D784" s="168">
        <f t="shared" si="40"/>
        <v>55125</v>
      </c>
    </row>
    <row r="785" spans="1:4" ht="15.5">
      <c r="A785" s="196" t="s">
        <v>727</v>
      </c>
      <c r="B785" s="196">
        <f>B786</f>
        <v>500000</v>
      </c>
      <c r="C785" s="168">
        <f t="shared" ref="C785:D796" si="41">B785*1.05</f>
        <v>525000</v>
      </c>
      <c r="D785" s="168">
        <f t="shared" si="41"/>
        <v>551250</v>
      </c>
    </row>
    <row r="786" spans="1:4" ht="15.5">
      <c r="A786" s="211" t="s">
        <v>694</v>
      </c>
      <c r="B786" s="211">
        <v>500000</v>
      </c>
      <c r="C786" s="168">
        <f t="shared" si="41"/>
        <v>525000</v>
      </c>
      <c r="D786" s="168">
        <f t="shared" si="41"/>
        <v>551250</v>
      </c>
    </row>
    <row r="787" spans="1:4" ht="15.5">
      <c r="A787" s="196" t="s">
        <v>115</v>
      </c>
      <c r="B787" s="196">
        <f>B788</f>
        <v>500000</v>
      </c>
      <c r="C787" s="168">
        <f t="shared" si="41"/>
        <v>525000</v>
      </c>
      <c r="D787" s="168">
        <f t="shared" si="41"/>
        <v>551250</v>
      </c>
    </row>
    <row r="788" spans="1:4" ht="15.5">
      <c r="A788" s="211" t="s">
        <v>69</v>
      </c>
      <c r="B788" s="211">
        <v>500000</v>
      </c>
      <c r="C788" s="168">
        <f t="shared" si="41"/>
        <v>525000</v>
      </c>
      <c r="D788" s="168">
        <f t="shared" si="41"/>
        <v>551250</v>
      </c>
    </row>
    <row r="789" spans="1:4" ht="15.5">
      <c r="A789" s="211" t="s">
        <v>70</v>
      </c>
      <c r="B789" s="211">
        <v>0</v>
      </c>
      <c r="C789" s="168">
        <f t="shared" si="41"/>
        <v>0</v>
      </c>
      <c r="D789" s="168">
        <f t="shared" si="41"/>
        <v>0</v>
      </c>
    </row>
    <row r="790" spans="1:4" ht="15.5">
      <c r="A790" s="200" t="s">
        <v>728</v>
      </c>
      <c r="B790" s="200"/>
      <c r="C790" s="168">
        <f t="shared" si="41"/>
        <v>0</v>
      </c>
      <c r="D790" s="168">
        <f t="shared" si="41"/>
        <v>0</v>
      </c>
    </row>
    <row r="791" spans="1:4" ht="15.5">
      <c r="A791" s="167" t="s">
        <v>729</v>
      </c>
      <c r="B791" s="167">
        <v>0</v>
      </c>
      <c r="C791" s="168">
        <f t="shared" si="41"/>
        <v>0</v>
      </c>
      <c r="D791" s="168">
        <f t="shared" si="41"/>
        <v>0</v>
      </c>
    </row>
    <row r="792" spans="1:4" ht="15.5">
      <c r="A792" s="196" t="s">
        <v>730</v>
      </c>
      <c r="B792" s="196">
        <f>B793</f>
        <v>0</v>
      </c>
      <c r="C792" s="166">
        <f t="shared" si="41"/>
        <v>0</v>
      </c>
      <c r="D792" s="166">
        <f t="shared" si="41"/>
        <v>0</v>
      </c>
    </row>
    <row r="793" spans="1:4" ht="15.5">
      <c r="A793" s="195" t="s">
        <v>731</v>
      </c>
      <c r="B793" s="195">
        <v>0</v>
      </c>
      <c r="C793" s="168">
        <f t="shared" si="41"/>
        <v>0</v>
      </c>
      <c r="D793" s="168">
        <f t="shared" si="41"/>
        <v>0</v>
      </c>
    </row>
    <row r="794" spans="1:4" ht="15.5">
      <c r="A794" s="211" t="s">
        <v>732</v>
      </c>
      <c r="B794" s="211">
        <v>0</v>
      </c>
      <c r="C794" s="168">
        <f t="shared" si="41"/>
        <v>0</v>
      </c>
      <c r="D794" s="168">
        <f t="shared" si="41"/>
        <v>0</v>
      </c>
    </row>
    <row r="795" spans="1:4" ht="15.5">
      <c r="A795" s="201" t="s">
        <v>733</v>
      </c>
      <c r="B795" s="201"/>
      <c r="C795" s="168">
        <f t="shared" si="41"/>
        <v>0</v>
      </c>
      <c r="D795" s="168">
        <f t="shared" si="41"/>
        <v>0</v>
      </c>
    </row>
    <row r="796" spans="1:4" ht="15.5">
      <c r="A796" s="179" t="s">
        <v>634</v>
      </c>
      <c r="B796" s="179">
        <f>B792+B787+B785+B779+B777+B771+B768+B764+B753+B748+B738+B730+B726+B723</f>
        <v>34190000</v>
      </c>
      <c r="C796" s="168">
        <f t="shared" si="41"/>
        <v>35899500</v>
      </c>
      <c r="D796" s="168">
        <f t="shared" si="41"/>
        <v>37694475</v>
      </c>
    </row>
    <row r="797" spans="1:4" ht="15.5">
      <c r="A797" s="179" t="s">
        <v>672</v>
      </c>
      <c r="B797" s="179"/>
      <c r="C797" s="168">
        <f t="shared" ref="C797:C805" si="42">SUM(B797:B797)</f>
        <v>0</v>
      </c>
      <c r="D797" s="194">
        <v>0</v>
      </c>
    </row>
    <row r="798" spans="1:4" ht="15.5">
      <c r="A798" s="179" t="s">
        <v>612</v>
      </c>
      <c r="B798" s="179"/>
      <c r="C798" s="168">
        <f t="shared" si="42"/>
        <v>0</v>
      </c>
      <c r="D798" s="194">
        <v>0</v>
      </c>
    </row>
    <row r="799" spans="1:4" ht="15.5">
      <c r="A799" s="179" t="s">
        <v>739</v>
      </c>
      <c r="B799" s="179">
        <v>0</v>
      </c>
      <c r="C799" s="168">
        <f t="shared" si="42"/>
        <v>0</v>
      </c>
      <c r="D799" s="194">
        <v>0</v>
      </c>
    </row>
    <row r="800" spans="1:4" ht="15.5">
      <c r="A800" s="179" t="s">
        <v>156</v>
      </c>
      <c r="B800" s="179">
        <v>0</v>
      </c>
      <c r="C800" s="168">
        <f t="shared" si="42"/>
        <v>0</v>
      </c>
      <c r="D800" s="194">
        <v>0</v>
      </c>
    </row>
    <row r="801" spans="1:4" ht="15.5">
      <c r="A801" s="179" t="s">
        <v>694</v>
      </c>
      <c r="B801" s="179">
        <v>0</v>
      </c>
      <c r="C801" s="168">
        <f t="shared" si="42"/>
        <v>0</v>
      </c>
      <c r="D801" s="194">
        <v>0</v>
      </c>
    </row>
    <row r="802" spans="1:4" ht="15.5">
      <c r="A802" s="179" t="s">
        <v>742</v>
      </c>
      <c r="B802" s="179">
        <v>0</v>
      </c>
      <c r="C802" s="168">
        <f t="shared" si="42"/>
        <v>0</v>
      </c>
      <c r="D802" s="194">
        <v>0</v>
      </c>
    </row>
    <row r="803" spans="1:4" ht="15.5">
      <c r="A803" s="179" t="s">
        <v>741</v>
      </c>
      <c r="B803" s="179">
        <v>0</v>
      </c>
      <c r="C803" s="168">
        <f t="shared" si="42"/>
        <v>0</v>
      </c>
      <c r="D803" s="194">
        <v>0</v>
      </c>
    </row>
    <row r="804" spans="1:4" ht="15.5">
      <c r="A804" s="179" t="s">
        <v>635</v>
      </c>
      <c r="B804" s="179">
        <v>0</v>
      </c>
      <c r="C804" s="168">
        <f t="shared" si="42"/>
        <v>0</v>
      </c>
      <c r="D804" s="194">
        <v>0</v>
      </c>
    </row>
    <row r="805" spans="1:4" ht="15.5">
      <c r="A805" s="179" t="s">
        <v>636</v>
      </c>
      <c r="B805" s="179">
        <f>B796+B804</f>
        <v>34190000</v>
      </c>
      <c r="C805" s="166">
        <f t="shared" si="42"/>
        <v>34190000</v>
      </c>
      <c r="D805" s="197">
        <v>27818829.149999999</v>
      </c>
    </row>
    <row r="806" spans="1:4" ht="15.5">
      <c r="A806" s="171" t="s">
        <v>672</v>
      </c>
      <c r="B806" s="171"/>
      <c r="C806" s="194"/>
      <c r="D806" s="194"/>
    </row>
    <row r="807" spans="1:4" ht="31">
      <c r="A807" s="175" t="s">
        <v>637</v>
      </c>
      <c r="B807" s="175" t="s">
        <v>424</v>
      </c>
      <c r="C807" s="176" t="s">
        <v>12</v>
      </c>
      <c r="D807" s="176" t="s">
        <v>426</v>
      </c>
    </row>
    <row r="808" spans="1:4" ht="15.5">
      <c r="A808" s="175" t="s">
        <v>620</v>
      </c>
      <c r="B808" s="175"/>
      <c r="C808" s="187">
        <v>0</v>
      </c>
      <c r="D808" s="176"/>
    </row>
    <row r="809" spans="1:4" ht="15.5">
      <c r="A809" s="171" t="s">
        <v>666</v>
      </c>
      <c r="B809" s="171">
        <v>0</v>
      </c>
      <c r="C809" s="187">
        <v>0</v>
      </c>
      <c r="D809" s="194"/>
    </row>
    <row r="810" spans="1:4" ht="15.5">
      <c r="A810" s="171" t="s">
        <v>81</v>
      </c>
      <c r="B810" s="171">
        <v>0</v>
      </c>
      <c r="C810" s="187">
        <v>0</v>
      </c>
      <c r="D810" s="194"/>
    </row>
    <row r="811" spans="1:4" ht="15.5">
      <c r="A811" s="165" t="s">
        <v>668</v>
      </c>
      <c r="B811" s="165">
        <v>0</v>
      </c>
      <c r="C811" s="187">
        <v>0</v>
      </c>
      <c r="D811" s="194"/>
    </row>
    <row r="812" spans="1:4" ht="15.5">
      <c r="A812" s="171" t="s">
        <v>712</v>
      </c>
      <c r="B812" s="171">
        <v>0</v>
      </c>
      <c r="C812" s="187">
        <v>0</v>
      </c>
      <c r="D812" s="194"/>
    </row>
    <row r="813" spans="1:4" ht="31">
      <c r="A813" s="171" t="s">
        <v>713</v>
      </c>
      <c r="B813" s="171">
        <v>0</v>
      </c>
      <c r="C813" s="187">
        <v>0</v>
      </c>
      <c r="D813" s="194"/>
    </row>
    <row r="814" spans="1:4" ht="15.5">
      <c r="A814" s="171" t="s">
        <v>714</v>
      </c>
      <c r="B814" s="171">
        <v>0</v>
      </c>
      <c r="C814" s="187">
        <v>0</v>
      </c>
      <c r="D814" s="194"/>
    </row>
    <row r="815" spans="1:4" ht="15.5">
      <c r="A815" s="171" t="s">
        <v>715</v>
      </c>
      <c r="B815" s="171">
        <v>0</v>
      </c>
      <c r="C815" s="187">
        <v>0</v>
      </c>
      <c r="D815" s="194"/>
    </row>
    <row r="816" spans="1:4" ht="31">
      <c r="A816" s="171" t="s">
        <v>716</v>
      </c>
      <c r="B816" s="171">
        <v>0</v>
      </c>
      <c r="C816" s="187">
        <v>0</v>
      </c>
      <c r="D816" s="194"/>
    </row>
    <row r="817" spans="1:4" ht="15.5">
      <c r="A817" s="165" t="s">
        <v>717</v>
      </c>
      <c r="B817" s="165">
        <v>0</v>
      </c>
      <c r="C817" s="187">
        <v>0</v>
      </c>
      <c r="D817" s="194"/>
    </row>
    <row r="818" spans="1:4" ht="15.5">
      <c r="A818" s="212" t="s">
        <v>29</v>
      </c>
      <c r="B818" s="212">
        <f>SUM(B819:B820)</f>
        <v>1062725.216826957</v>
      </c>
      <c r="C818" s="166">
        <f>B818*1.05</f>
        <v>1115861.4776683049</v>
      </c>
      <c r="D818" s="166">
        <f>C818*1.05</f>
        <v>1171654.5515517201</v>
      </c>
    </row>
    <row r="819" spans="1:4" ht="15.5">
      <c r="A819" s="213" t="s">
        <v>82</v>
      </c>
      <c r="B819" s="213">
        <v>956452.695144261</v>
      </c>
      <c r="C819" s="168">
        <f t="shared" ref="C819:D850" si="43">B819*1.05</f>
        <v>1004275.3299014741</v>
      </c>
      <c r="D819" s="168">
        <f t="shared" si="43"/>
        <v>1054489.0963965477</v>
      </c>
    </row>
    <row r="820" spans="1:4" ht="15.5">
      <c r="A820" s="213" t="s">
        <v>83</v>
      </c>
      <c r="B820" s="213">
        <v>106272.52168269599</v>
      </c>
      <c r="C820" s="168">
        <f t="shared" si="43"/>
        <v>111586.14776683079</v>
      </c>
      <c r="D820" s="168">
        <f t="shared" si="43"/>
        <v>117165.45515517234</v>
      </c>
    </row>
    <row r="821" spans="1:4" ht="15.5">
      <c r="A821" s="212" t="s">
        <v>126</v>
      </c>
      <c r="B821" s="212">
        <f>SUM(B822:B824)</f>
        <v>414462.83456251293</v>
      </c>
      <c r="C821" s="166">
        <f t="shared" si="43"/>
        <v>435185.97629063862</v>
      </c>
      <c r="D821" s="166">
        <f t="shared" si="43"/>
        <v>456945.27510517056</v>
      </c>
    </row>
    <row r="822" spans="1:4" ht="15.5">
      <c r="A822" s="213" t="s">
        <v>84</v>
      </c>
      <c r="B822" s="213">
        <v>212545.043365391</v>
      </c>
      <c r="C822" s="168">
        <f t="shared" si="43"/>
        <v>223172.29553366057</v>
      </c>
      <c r="D822" s="168">
        <f t="shared" si="43"/>
        <v>234330.91031034361</v>
      </c>
    </row>
    <row r="823" spans="1:4" ht="15.5">
      <c r="A823" s="213" t="s">
        <v>85</v>
      </c>
      <c r="B823" s="213">
        <v>148781.53035577401</v>
      </c>
      <c r="C823" s="168">
        <f t="shared" si="43"/>
        <v>156220.60687356271</v>
      </c>
      <c r="D823" s="168">
        <f t="shared" si="43"/>
        <v>164031.63721724084</v>
      </c>
    </row>
    <row r="824" spans="1:4" ht="15.5">
      <c r="A824" s="213" t="s">
        <v>35</v>
      </c>
      <c r="B824" s="213">
        <v>53136.260841347903</v>
      </c>
      <c r="C824" s="168">
        <f t="shared" si="43"/>
        <v>55793.073883415302</v>
      </c>
      <c r="D824" s="168">
        <f t="shared" si="43"/>
        <v>58582.727577586069</v>
      </c>
    </row>
    <row r="825" spans="1:4" ht="15.5">
      <c r="A825" s="212" t="s">
        <v>36</v>
      </c>
      <c r="B825" s="212">
        <f>SUM(B826:B828)</f>
        <v>1108211.457017886</v>
      </c>
      <c r="C825" s="166">
        <f t="shared" si="43"/>
        <v>1163622.0298687804</v>
      </c>
      <c r="D825" s="166">
        <f t="shared" si="43"/>
        <v>1221803.1313622196</v>
      </c>
    </row>
    <row r="826" spans="1:4" ht="15.5">
      <c r="A826" s="213" t="s">
        <v>86</v>
      </c>
      <c r="B826" s="213">
        <v>683121.370287103</v>
      </c>
      <c r="C826" s="168">
        <f t="shared" si="43"/>
        <v>717277.43880145822</v>
      </c>
      <c r="D826" s="168">
        <f t="shared" si="43"/>
        <v>753141.3107415312</v>
      </c>
    </row>
    <row r="827" spans="1:4" ht="15.5">
      <c r="A827" s="213" t="s">
        <v>87</v>
      </c>
      <c r="B827" s="213">
        <v>0</v>
      </c>
      <c r="C827" s="168">
        <f t="shared" si="43"/>
        <v>0</v>
      </c>
      <c r="D827" s="168">
        <f t="shared" si="43"/>
        <v>0</v>
      </c>
    </row>
    <row r="828" spans="1:4" ht="15.5">
      <c r="A828" s="213" t="s">
        <v>88</v>
      </c>
      <c r="B828" s="213">
        <v>425090.08673078299</v>
      </c>
      <c r="C828" s="168">
        <f t="shared" si="43"/>
        <v>446344.59106732218</v>
      </c>
      <c r="D828" s="168">
        <f t="shared" si="43"/>
        <v>468661.82062068832</v>
      </c>
    </row>
    <row r="829" spans="1:4" ht="15.5">
      <c r="A829" s="212" t="s">
        <v>89</v>
      </c>
      <c r="B829" s="212">
        <f>SUM(B830:B832)</f>
        <v>0</v>
      </c>
      <c r="C829" s="166">
        <f t="shared" si="43"/>
        <v>0</v>
      </c>
      <c r="D829" s="166">
        <f t="shared" si="43"/>
        <v>0</v>
      </c>
    </row>
    <row r="830" spans="1:4" ht="15.5">
      <c r="A830" s="213" t="s">
        <v>90</v>
      </c>
      <c r="B830" s="213">
        <v>0</v>
      </c>
      <c r="C830" s="168">
        <f t="shared" si="43"/>
        <v>0</v>
      </c>
      <c r="D830" s="168">
        <f t="shared" si="43"/>
        <v>0</v>
      </c>
    </row>
    <row r="831" spans="1:4" ht="15.5">
      <c r="A831" s="213" t="s">
        <v>673</v>
      </c>
      <c r="B831" s="213">
        <v>0</v>
      </c>
      <c r="C831" s="168">
        <f t="shared" si="43"/>
        <v>0</v>
      </c>
      <c r="D831" s="168">
        <f t="shared" si="43"/>
        <v>0</v>
      </c>
    </row>
    <row r="832" spans="1:4" ht="15.5">
      <c r="A832" s="213" t="s">
        <v>41</v>
      </c>
      <c r="B832" s="213">
        <v>0</v>
      </c>
      <c r="C832" s="168">
        <f t="shared" si="43"/>
        <v>0</v>
      </c>
      <c r="D832" s="168">
        <f t="shared" si="43"/>
        <v>0</v>
      </c>
    </row>
    <row r="833" spans="1:4" ht="15.5">
      <c r="A833" s="212" t="s">
        <v>91</v>
      </c>
      <c r="B833" s="212">
        <f>SUM(B834:B837)</f>
        <v>106272.52168269599</v>
      </c>
      <c r="C833" s="166">
        <f t="shared" si="43"/>
        <v>111586.14776683079</v>
      </c>
      <c r="D833" s="166">
        <f t="shared" si="43"/>
        <v>117165.45515517234</v>
      </c>
    </row>
    <row r="834" spans="1:4" ht="15.5">
      <c r="A834" s="213" t="s">
        <v>44</v>
      </c>
      <c r="B834" s="213">
        <v>106272.52168269599</v>
      </c>
      <c r="C834" s="168">
        <f t="shared" si="43"/>
        <v>111586.14776683079</v>
      </c>
      <c r="D834" s="168">
        <f t="shared" si="43"/>
        <v>117165.45515517234</v>
      </c>
    </row>
    <row r="835" spans="1:4" ht="15.5">
      <c r="A835" s="213" t="s">
        <v>165</v>
      </c>
      <c r="B835" s="213">
        <v>0</v>
      </c>
      <c r="C835" s="168">
        <f t="shared" si="43"/>
        <v>0</v>
      </c>
      <c r="D835" s="168">
        <f t="shared" si="43"/>
        <v>0</v>
      </c>
    </row>
    <row r="836" spans="1:4" ht="15.5">
      <c r="A836" s="213" t="s">
        <v>45</v>
      </c>
      <c r="B836" s="213">
        <v>0</v>
      </c>
      <c r="C836" s="168">
        <f t="shared" si="43"/>
        <v>0</v>
      </c>
      <c r="D836" s="168">
        <f t="shared" si="43"/>
        <v>0</v>
      </c>
    </row>
    <row r="837" spans="1:4" ht="15.5">
      <c r="A837" s="213" t="s">
        <v>46</v>
      </c>
      <c r="B837" s="213">
        <v>0</v>
      </c>
      <c r="C837" s="168">
        <f t="shared" si="43"/>
        <v>0</v>
      </c>
      <c r="D837" s="168">
        <f t="shared" si="43"/>
        <v>0</v>
      </c>
    </row>
    <row r="838" spans="1:4" ht="15.5">
      <c r="A838" s="212" t="s">
        <v>718</v>
      </c>
      <c r="B838" s="212">
        <v>0</v>
      </c>
      <c r="C838" s="166">
        <f t="shared" si="43"/>
        <v>0</v>
      </c>
      <c r="D838" s="166">
        <f t="shared" si="43"/>
        <v>0</v>
      </c>
    </row>
    <row r="839" spans="1:4" ht="15.5">
      <c r="A839" s="213" t="s">
        <v>719</v>
      </c>
      <c r="B839" s="213">
        <v>0</v>
      </c>
      <c r="C839" s="168">
        <f t="shared" si="43"/>
        <v>0</v>
      </c>
      <c r="D839" s="168">
        <f t="shared" si="43"/>
        <v>0</v>
      </c>
    </row>
    <row r="840" spans="1:4" ht="15.5">
      <c r="A840" s="212" t="s">
        <v>47</v>
      </c>
      <c r="B840" s="212">
        <f>SUM(B841:B842)</f>
        <v>159408.78252404401</v>
      </c>
      <c r="C840" s="166">
        <f t="shared" si="43"/>
        <v>167379.22165024621</v>
      </c>
      <c r="D840" s="166">
        <f t="shared" si="43"/>
        <v>175748.18273275852</v>
      </c>
    </row>
    <row r="841" spans="1:4" ht="15.5">
      <c r="A841" s="213" t="s">
        <v>93</v>
      </c>
      <c r="B841" s="213">
        <v>159408.78252404401</v>
      </c>
      <c r="C841" s="168">
        <f t="shared" si="43"/>
        <v>167379.22165024621</v>
      </c>
      <c r="D841" s="168">
        <f t="shared" si="43"/>
        <v>175748.18273275852</v>
      </c>
    </row>
    <row r="842" spans="1:4" ht="15.5">
      <c r="A842" s="213" t="s">
        <v>94</v>
      </c>
      <c r="B842" s="213">
        <v>0</v>
      </c>
      <c r="C842" s="168">
        <f t="shared" si="43"/>
        <v>0</v>
      </c>
      <c r="D842" s="168">
        <f t="shared" si="43"/>
        <v>0</v>
      </c>
    </row>
    <row r="843" spans="1:4" ht="15.5">
      <c r="A843" s="212" t="s">
        <v>49</v>
      </c>
      <c r="B843" s="212">
        <f>SUM(B844:B845)</f>
        <v>1721071.2741341721</v>
      </c>
      <c r="C843" s="166">
        <f t="shared" si="43"/>
        <v>1807124.8378408807</v>
      </c>
      <c r="D843" s="166">
        <f t="shared" si="43"/>
        <v>1897481.0797329249</v>
      </c>
    </row>
    <row r="844" spans="1:4" ht="15.5">
      <c r="A844" s="213" t="s">
        <v>675</v>
      </c>
      <c r="B844" s="213">
        <v>530299.88319665205</v>
      </c>
      <c r="C844" s="168">
        <f t="shared" si="43"/>
        <v>556814.87735648465</v>
      </c>
      <c r="D844" s="168">
        <f t="shared" si="43"/>
        <v>584655.62122430885</v>
      </c>
    </row>
    <row r="845" spans="1:4" ht="15.5">
      <c r="A845" s="213" t="s">
        <v>134</v>
      </c>
      <c r="B845" s="213">
        <v>1190771.39093752</v>
      </c>
      <c r="C845" s="168">
        <f t="shared" si="43"/>
        <v>1250309.960484396</v>
      </c>
      <c r="D845" s="168">
        <f t="shared" si="43"/>
        <v>1312825.4585086158</v>
      </c>
    </row>
    <row r="846" spans="1:4" ht="15.5">
      <c r="A846" s="212" t="s">
        <v>135</v>
      </c>
      <c r="B846" s="212">
        <f>SUM(B847)</f>
        <v>0</v>
      </c>
      <c r="C846" s="166">
        <f t="shared" si="43"/>
        <v>0</v>
      </c>
      <c r="D846" s="166">
        <f t="shared" si="43"/>
        <v>0</v>
      </c>
    </row>
    <row r="847" spans="1:4" ht="15.5">
      <c r="A847" s="213" t="s">
        <v>54</v>
      </c>
      <c r="B847" s="213">
        <v>0</v>
      </c>
      <c r="C847" s="168">
        <f t="shared" si="43"/>
        <v>0</v>
      </c>
      <c r="D847" s="168">
        <f t="shared" si="43"/>
        <v>0</v>
      </c>
    </row>
    <row r="848" spans="1:4" ht="15.5">
      <c r="A848" s="212" t="s">
        <v>677</v>
      </c>
      <c r="B848" s="212">
        <f>SUM(B849:B858)</f>
        <v>19397077.462092336</v>
      </c>
      <c r="C848" s="166">
        <f t="shared" si="43"/>
        <v>20366931.335196953</v>
      </c>
      <c r="D848" s="166">
        <f t="shared" si="43"/>
        <v>21385277.9019568</v>
      </c>
    </row>
    <row r="849" spans="1:4" ht="15.5">
      <c r="A849" s="213" t="s">
        <v>678</v>
      </c>
      <c r="B849" s="213">
        <f>-6000000+14878153.0355774</f>
        <v>8878153.0355773997</v>
      </c>
      <c r="C849" s="168">
        <f t="shared" si="43"/>
        <v>9322060.6873562708</v>
      </c>
      <c r="D849" s="168">
        <f t="shared" si="43"/>
        <v>9788163.7217240855</v>
      </c>
    </row>
    <row r="850" spans="1:4" ht="15.5">
      <c r="A850" s="213" t="s">
        <v>679</v>
      </c>
      <c r="B850" s="213">
        <f>-3000000+6801441.38769253</f>
        <v>3801441.3876925297</v>
      </c>
      <c r="C850" s="168">
        <f t="shared" si="43"/>
        <v>3991513.4570771563</v>
      </c>
      <c r="D850" s="168">
        <f t="shared" si="43"/>
        <v>4191089.1299310145</v>
      </c>
    </row>
    <row r="851" spans="1:4" ht="15.5">
      <c r="A851" s="213" t="s">
        <v>137</v>
      </c>
      <c r="B851" s="213">
        <v>318817.56504808698</v>
      </c>
      <c r="C851" s="168">
        <f t="shared" ref="C851:D882" si="44">B851*1.05</f>
        <v>334758.44330049132</v>
      </c>
      <c r="D851" s="168">
        <f t="shared" si="44"/>
        <v>351496.36546551588</v>
      </c>
    </row>
    <row r="852" spans="1:4" ht="15.5">
      <c r="A852" s="213" t="s">
        <v>680</v>
      </c>
      <c r="B852" s="213">
        <v>106272.52168269599</v>
      </c>
      <c r="C852" s="168">
        <f t="shared" si="44"/>
        <v>111586.14776683079</v>
      </c>
      <c r="D852" s="168">
        <f t="shared" si="44"/>
        <v>117165.45515517234</v>
      </c>
    </row>
    <row r="853" spans="1:4" ht="15.5">
      <c r="A853" s="213" t="s">
        <v>681</v>
      </c>
      <c r="B853" s="213">
        <v>2081903.12879818</v>
      </c>
      <c r="C853" s="168">
        <f t="shared" si="44"/>
        <v>2185998.285238089</v>
      </c>
      <c r="D853" s="168">
        <f t="shared" si="44"/>
        <v>2295298.1994999936</v>
      </c>
    </row>
    <row r="854" spans="1:4" ht="15.5">
      <c r="A854" s="213" t="s">
        <v>682</v>
      </c>
      <c r="B854" s="213">
        <v>2988355.8239424401</v>
      </c>
      <c r="C854" s="168">
        <f t="shared" si="44"/>
        <v>3137773.6151395622</v>
      </c>
      <c r="D854" s="168">
        <f t="shared" si="44"/>
        <v>3294662.2958965404</v>
      </c>
    </row>
    <row r="855" spans="1:4" ht="15.5">
      <c r="A855" s="213" t="s">
        <v>720</v>
      </c>
      <c r="B855" s="213">
        <v>159408.78252404401</v>
      </c>
      <c r="C855" s="168">
        <f t="shared" si="44"/>
        <v>167379.22165024621</v>
      </c>
      <c r="D855" s="168">
        <f t="shared" si="44"/>
        <v>175748.18273275852</v>
      </c>
    </row>
    <row r="856" spans="1:4" ht="15.5">
      <c r="A856" s="213" t="s">
        <v>721</v>
      </c>
      <c r="B856" s="213">
        <v>0</v>
      </c>
      <c r="C856" s="168">
        <f t="shared" si="44"/>
        <v>0</v>
      </c>
      <c r="D856" s="168">
        <f t="shared" si="44"/>
        <v>0</v>
      </c>
    </row>
    <row r="857" spans="1:4" ht="15.5">
      <c r="A857" s="213" t="s">
        <v>683</v>
      </c>
      <c r="B857" s="213">
        <v>637635.13009617396</v>
      </c>
      <c r="C857" s="168">
        <f t="shared" si="44"/>
        <v>669516.88660098263</v>
      </c>
      <c r="D857" s="168">
        <f t="shared" si="44"/>
        <v>702992.73093103175</v>
      </c>
    </row>
    <row r="858" spans="1:4" ht="15.5">
      <c r="A858" s="213" t="s">
        <v>722</v>
      </c>
      <c r="B858" s="213">
        <v>425090.08673078299</v>
      </c>
      <c r="C858" s="168">
        <f t="shared" si="44"/>
        <v>446344.59106732218</v>
      </c>
      <c r="D858" s="168">
        <f t="shared" si="44"/>
        <v>468661.82062068832</v>
      </c>
    </row>
    <row r="859" spans="1:4" ht="15.5">
      <c r="A859" s="212" t="s">
        <v>55</v>
      </c>
      <c r="B859" s="212">
        <f>SUM(B860:B862)</f>
        <v>1262725.2168269581</v>
      </c>
      <c r="C859" s="166">
        <f t="shared" si="44"/>
        <v>1325861.4776683061</v>
      </c>
      <c r="D859" s="166">
        <f t="shared" si="44"/>
        <v>1392154.5515517215</v>
      </c>
    </row>
    <row r="860" spans="1:4" ht="15.5">
      <c r="A860" s="213" t="s">
        <v>685</v>
      </c>
      <c r="B860" s="213">
        <v>531362.60841347906</v>
      </c>
      <c r="C860" s="168">
        <f t="shared" si="44"/>
        <v>557930.73883415305</v>
      </c>
      <c r="D860" s="168">
        <f t="shared" si="44"/>
        <v>585827.27577586076</v>
      </c>
    </row>
    <row r="861" spans="1:4" ht="15.5">
      <c r="A861" s="213" t="s">
        <v>167</v>
      </c>
      <c r="B861" s="213">
        <v>200000</v>
      </c>
      <c r="C861" s="168">
        <f t="shared" si="44"/>
        <v>210000</v>
      </c>
      <c r="D861" s="168">
        <f t="shared" si="44"/>
        <v>220500</v>
      </c>
    </row>
    <row r="862" spans="1:4" ht="15.5">
      <c r="A862" s="213" t="s">
        <v>57</v>
      </c>
      <c r="B862" s="213">
        <v>531362.60841347906</v>
      </c>
      <c r="C862" s="168">
        <f t="shared" si="44"/>
        <v>557930.73883415305</v>
      </c>
      <c r="D862" s="168">
        <f t="shared" si="44"/>
        <v>585827.27577586076</v>
      </c>
    </row>
    <row r="863" spans="1:4" ht="15.5">
      <c r="A863" s="212" t="s">
        <v>58</v>
      </c>
      <c r="B863" s="212">
        <f>SUM(B864:B865)</f>
        <v>1897224.086081784</v>
      </c>
      <c r="C863" s="166">
        <f t="shared" si="44"/>
        <v>1992085.2903858733</v>
      </c>
      <c r="D863" s="166">
        <f t="shared" si="44"/>
        <v>2091689.5549051671</v>
      </c>
    </row>
    <row r="864" spans="1:4" ht="15.5">
      <c r="A864" s="213" t="s">
        <v>102</v>
      </c>
      <c r="B864" s="213">
        <v>1487815.3035577401</v>
      </c>
      <c r="C864" s="168">
        <f t="shared" si="44"/>
        <v>1562206.0687356272</v>
      </c>
      <c r="D864" s="168">
        <f t="shared" si="44"/>
        <v>1640316.3721724087</v>
      </c>
    </row>
    <row r="865" spans="1:4" ht="15.5">
      <c r="A865" s="213" t="s">
        <v>723</v>
      </c>
      <c r="B865" s="213">
        <v>409408.78252404399</v>
      </c>
      <c r="C865" s="168">
        <f t="shared" si="44"/>
        <v>429879.22165024618</v>
      </c>
      <c r="D865" s="168">
        <f t="shared" si="44"/>
        <v>451373.18273275852</v>
      </c>
    </row>
    <row r="866" spans="1:4" ht="15.5">
      <c r="A866" s="212" t="s">
        <v>60</v>
      </c>
      <c r="B866" s="212">
        <f>SUM(B867:B871)</f>
        <v>2050180.1734615648</v>
      </c>
      <c r="C866" s="166">
        <f t="shared" si="44"/>
        <v>2152689.1821346432</v>
      </c>
      <c r="D866" s="166">
        <f t="shared" si="44"/>
        <v>2260323.6412413754</v>
      </c>
    </row>
    <row r="867" spans="1:4" ht="15.5">
      <c r="A867" s="213" t="s">
        <v>724</v>
      </c>
      <c r="B867" s="213">
        <v>53136.260841347903</v>
      </c>
      <c r="C867" s="168">
        <f t="shared" si="44"/>
        <v>55793.073883415302</v>
      </c>
      <c r="D867" s="168">
        <f t="shared" si="44"/>
        <v>58582.727577586069</v>
      </c>
    </row>
    <row r="868" spans="1:4" ht="15.5">
      <c r="A868" s="213" t="s">
        <v>725</v>
      </c>
      <c r="B868" s="213">
        <v>584498.86925482599</v>
      </c>
      <c r="C868" s="168">
        <f t="shared" si="44"/>
        <v>613723.81271756731</v>
      </c>
      <c r="D868" s="168">
        <f t="shared" si="44"/>
        <v>644410.00335344567</v>
      </c>
    </row>
    <row r="869" spans="1:4" ht="15.5">
      <c r="A869" s="213" t="s">
        <v>103</v>
      </c>
      <c r="B869" s="213">
        <v>1200000</v>
      </c>
      <c r="C869" s="168">
        <f t="shared" si="44"/>
        <v>1260000</v>
      </c>
      <c r="D869" s="168">
        <f t="shared" si="44"/>
        <v>1323000</v>
      </c>
    </row>
    <row r="870" spans="1:4" ht="15.5">
      <c r="A870" s="213" t="s">
        <v>61</v>
      </c>
      <c r="B870" s="213">
        <v>212545.043365391</v>
      </c>
      <c r="C870" s="168">
        <f t="shared" si="44"/>
        <v>223172.29553366057</v>
      </c>
      <c r="D870" s="168">
        <f t="shared" si="44"/>
        <v>234330.91031034361</v>
      </c>
    </row>
    <row r="871" spans="1:4" ht="15.5">
      <c r="A871" s="212" t="s">
        <v>726</v>
      </c>
      <c r="B871" s="212">
        <v>0</v>
      </c>
      <c r="C871" s="168">
        <f t="shared" si="44"/>
        <v>0</v>
      </c>
      <c r="D871" s="168">
        <f t="shared" si="44"/>
        <v>0</v>
      </c>
    </row>
    <row r="872" spans="1:4" ht="15.5">
      <c r="A872" s="212" t="s">
        <v>64</v>
      </c>
      <c r="B872" s="212">
        <f>B873</f>
        <v>584498.86925482599</v>
      </c>
      <c r="C872" s="166">
        <f t="shared" si="44"/>
        <v>613723.81271756731</v>
      </c>
      <c r="D872" s="166">
        <f t="shared" si="44"/>
        <v>644410.00335344567</v>
      </c>
    </row>
    <row r="873" spans="1:4" ht="15.5">
      <c r="A873" s="213" t="s">
        <v>65</v>
      </c>
      <c r="B873" s="213">
        <v>584498.86925482599</v>
      </c>
      <c r="C873" s="168">
        <f t="shared" si="44"/>
        <v>613723.81271756731</v>
      </c>
      <c r="D873" s="168">
        <f t="shared" si="44"/>
        <v>644410.00335344567</v>
      </c>
    </row>
    <row r="874" spans="1:4" ht="15.5">
      <c r="A874" s="212" t="s">
        <v>112</v>
      </c>
      <c r="B874" s="212">
        <f>SUM(B875:B878)</f>
        <v>6339058.2022361346</v>
      </c>
      <c r="C874" s="166">
        <f t="shared" si="44"/>
        <v>6656011.1123479418</v>
      </c>
      <c r="D874" s="166">
        <f t="shared" si="44"/>
        <v>6988811.6679653395</v>
      </c>
    </row>
    <row r="875" spans="1:4" ht="15.5">
      <c r="A875" s="213" t="s">
        <v>113</v>
      </c>
      <c r="B875" s="213">
        <v>107335.246899523</v>
      </c>
      <c r="C875" s="168">
        <f t="shared" si="44"/>
        <v>112702.00924449916</v>
      </c>
      <c r="D875" s="168">
        <f t="shared" si="44"/>
        <v>118337.10970672412</v>
      </c>
    </row>
    <row r="876" spans="1:4" ht="15.5">
      <c r="A876" s="213" t="s">
        <v>66</v>
      </c>
      <c r="B876" s="213">
        <v>212545.043365391</v>
      </c>
      <c r="C876" s="168">
        <f t="shared" si="44"/>
        <v>223172.29553366057</v>
      </c>
      <c r="D876" s="168">
        <f t="shared" si="44"/>
        <v>234330.91031034361</v>
      </c>
    </row>
    <row r="877" spans="1:4" ht="15.5">
      <c r="A877" s="213" t="s">
        <v>689</v>
      </c>
      <c r="B877" s="213">
        <v>1168997.7385096501</v>
      </c>
      <c r="C877" s="168">
        <f t="shared" si="44"/>
        <v>1227447.6254351328</v>
      </c>
      <c r="D877" s="168">
        <f t="shared" si="44"/>
        <v>1288820.0067068895</v>
      </c>
    </row>
    <row r="878" spans="1:4" ht="15.5">
      <c r="A878" s="213" t="s">
        <v>142</v>
      </c>
      <c r="B878" s="213">
        <v>4850180.1734615704</v>
      </c>
      <c r="C878" s="168">
        <f t="shared" si="44"/>
        <v>5092689.1821346488</v>
      </c>
      <c r="D878" s="168">
        <f t="shared" si="44"/>
        <v>5347323.6412413819</v>
      </c>
    </row>
    <row r="879" spans="1:4" ht="15.5">
      <c r="A879" s="212" t="s">
        <v>67</v>
      </c>
      <c r="B879" s="212">
        <f>B880</f>
        <v>212545.043365391</v>
      </c>
      <c r="C879" s="166">
        <f t="shared" si="44"/>
        <v>223172.29553366057</v>
      </c>
      <c r="D879" s="166">
        <f t="shared" si="44"/>
        <v>234330.91031034361</v>
      </c>
    </row>
    <row r="880" spans="1:4" ht="15.5">
      <c r="A880" s="213" t="s">
        <v>694</v>
      </c>
      <c r="B880" s="213">
        <v>212545.043365391</v>
      </c>
      <c r="C880" s="168">
        <f t="shared" si="44"/>
        <v>223172.29553366057</v>
      </c>
      <c r="D880" s="168">
        <f t="shared" si="44"/>
        <v>234330.91031034361</v>
      </c>
    </row>
    <row r="881" spans="1:4" ht="15.5">
      <c r="A881" s="212" t="s">
        <v>727</v>
      </c>
      <c r="B881" s="212">
        <f>SUM(B882)</f>
        <v>212545.043365391</v>
      </c>
      <c r="C881" s="166">
        <f t="shared" si="44"/>
        <v>223172.29553366057</v>
      </c>
      <c r="D881" s="166">
        <f t="shared" si="44"/>
        <v>234330.91031034361</v>
      </c>
    </row>
    <row r="882" spans="1:4" ht="15.5">
      <c r="A882" s="213" t="s">
        <v>694</v>
      </c>
      <c r="B882" s="213">
        <v>212545.043365391</v>
      </c>
      <c r="C882" s="168">
        <f t="shared" si="44"/>
        <v>223172.29553366057</v>
      </c>
      <c r="D882" s="168">
        <f t="shared" si="44"/>
        <v>234330.91031034361</v>
      </c>
    </row>
    <row r="883" spans="1:4" ht="15.5">
      <c r="A883" s="212" t="s">
        <v>115</v>
      </c>
      <c r="B883" s="212">
        <f>SUM(B884:B887)</f>
        <v>612545.04336539097</v>
      </c>
      <c r="C883" s="166">
        <f t="shared" ref="C883:D893" si="45">B883*1.05</f>
        <v>643172.29553366057</v>
      </c>
      <c r="D883" s="166">
        <f t="shared" si="45"/>
        <v>675330.91031034361</v>
      </c>
    </row>
    <row r="884" spans="1:4" ht="15.5">
      <c r="A884" s="213" t="s">
        <v>69</v>
      </c>
      <c r="B884" s="213">
        <v>212545.043365391</v>
      </c>
      <c r="C884" s="168">
        <f t="shared" si="45"/>
        <v>223172.29553366057</v>
      </c>
      <c r="D884" s="168">
        <f t="shared" si="45"/>
        <v>234330.91031034361</v>
      </c>
    </row>
    <row r="885" spans="1:4" ht="15.5">
      <c r="A885" s="213" t="s">
        <v>70</v>
      </c>
      <c r="B885" s="213">
        <v>400000</v>
      </c>
      <c r="C885" s="168">
        <f t="shared" si="45"/>
        <v>420000</v>
      </c>
      <c r="D885" s="168">
        <f t="shared" si="45"/>
        <v>441000</v>
      </c>
    </row>
    <row r="886" spans="1:4" ht="15.5">
      <c r="A886" s="213" t="s">
        <v>728</v>
      </c>
      <c r="B886" s="213">
        <v>0</v>
      </c>
      <c r="C886" s="168">
        <f t="shared" si="45"/>
        <v>0</v>
      </c>
      <c r="D886" s="168">
        <f t="shared" si="45"/>
        <v>0</v>
      </c>
    </row>
    <row r="887" spans="1:4" ht="15.5">
      <c r="A887" s="213" t="s">
        <v>729</v>
      </c>
      <c r="B887" s="213">
        <v>0</v>
      </c>
      <c r="C887" s="168">
        <f t="shared" si="45"/>
        <v>0</v>
      </c>
      <c r="D887" s="168">
        <f t="shared" si="45"/>
        <v>0</v>
      </c>
    </row>
    <row r="888" spans="1:4" ht="15.5">
      <c r="A888" s="212" t="s">
        <v>730</v>
      </c>
      <c r="B888" s="212">
        <f>SUM(B889:B892)</f>
        <v>5445306.294884664</v>
      </c>
      <c r="C888" s="166">
        <f t="shared" si="45"/>
        <v>5717571.6096288972</v>
      </c>
      <c r="D888" s="166">
        <f t="shared" si="45"/>
        <v>6003450.1901103426</v>
      </c>
    </row>
    <row r="889" spans="1:4" ht="15.5">
      <c r="A889" s="213" t="s">
        <v>731</v>
      </c>
      <c r="B889" s="213">
        <v>159408.78252404401</v>
      </c>
      <c r="C889" s="168">
        <f t="shared" si="45"/>
        <v>167379.22165024621</v>
      </c>
      <c r="D889" s="168">
        <f t="shared" si="45"/>
        <v>175748.18273275852</v>
      </c>
    </row>
    <row r="890" spans="1:4" ht="15.5">
      <c r="A890" s="213" t="s">
        <v>743</v>
      </c>
      <c r="B890" s="213">
        <v>1285897.5123606201</v>
      </c>
      <c r="C890" s="168">
        <f t="shared" si="45"/>
        <v>1350192.3879786511</v>
      </c>
      <c r="D890" s="168">
        <f t="shared" si="45"/>
        <v>1417702.0073775838</v>
      </c>
    </row>
    <row r="891" spans="1:4" ht="15.5">
      <c r="A891" s="213" t="s">
        <v>732</v>
      </c>
      <c r="B891" s="213">
        <v>0</v>
      </c>
      <c r="C891" s="168">
        <f t="shared" si="45"/>
        <v>0</v>
      </c>
      <c r="D891" s="168">
        <f t="shared" si="45"/>
        <v>0</v>
      </c>
    </row>
    <row r="892" spans="1:4" ht="15.5">
      <c r="A892" s="213" t="s">
        <v>733</v>
      </c>
      <c r="B892" s="213">
        <v>4000000</v>
      </c>
      <c r="C892" s="168">
        <f t="shared" si="45"/>
        <v>4200000</v>
      </c>
      <c r="D892" s="168">
        <f t="shared" si="45"/>
        <v>4410000</v>
      </c>
    </row>
    <row r="893" spans="1:4" ht="31">
      <c r="A893" s="165" t="s">
        <v>638</v>
      </c>
      <c r="B893" s="165">
        <f>B888+B883+B881+B879+B874+B872+B866+B863+B859+B848+B843+B840+B833+B825+B821+B818</f>
        <v>42585857.521682702</v>
      </c>
      <c r="C893" s="166">
        <f t="shared" si="45"/>
        <v>44715150.397766836</v>
      </c>
      <c r="D893" s="166">
        <f t="shared" si="45"/>
        <v>46950907.917655177</v>
      </c>
    </row>
    <row r="894" spans="1:4" ht="15.5">
      <c r="A894" s="165" t="s">
        <v>672</v>
      </c>
      <c r="B894" s="165"/>
      <c r="C894" s="187">
        <v>0</v>
      </c>
      <c r="D894" s="197"/>
    </row>
    <row r="895" spans="1:4" ht="15.5">
      <c r="A895" s="165" t="s">
        <v>612</v>
      </c>
      <c r="B895" s="165"/>
      <c r="C895" s="187">
        <v>0</v>
      </c>
      <c r="D895" s="197"/>
    </row>
    <row r="896" spans="1:4" ht="15.5">
      <c r="A896" s="165" t="s">
        <v>156</v>
      </c>
      <c r="B896" s="165">
        <v>0</v>
      </c>
      <c r="C896" s="187">
        <v>0</v>
      </c>
      <c r="D896" s="166">
        <v>0</v>
      </c>
    </row>
    <row r="897" spans="1:4" ht="31">
      <c r="A897" s="165" t="s">
        <v>694</v>
      </c>
      <c r="B897" s="165">
        <v>0</v>
      </c>
      <c r="C897" s="187">
        <v>0</v>
      </c>
      <c r="D897" s="166">
        <v>0</v>
      </c>
    </row>
    <row r="898" spans="1:4" ht="15.5">
      <c r="A898" s="165" t="s">
        <v>742</v>
      </c>
      <c r="B898" s="165">
        <v>0</v>
      </c>
      <c r="C898" s="187">
        <v>0</v>
      </c>
      <c r="D898" s="166">
        <v>0</v>
      </c>
    </row>
    <row r="899" spans="1:4" ht="15.5">
      <c r="A899" s="165" t="s">
        <v>741</v>
      </c>
      <c r="B899" s="165">
        <v>0</v>
      </c>
      <c r="C899" s="187">
        <v>0</v>
      </c>
      <c r="D899" s="166">
        <v>0</v>
      </c>
    </row>
    <row r="900" spans="1:4" ht="31">
      <c r="A900" s="165" t="s">
        <v>639</v>
      </c>
      <c r="B900" s="165">
        <v>0</v>
      </c>
      <c r="C900" s="187">
        <v>0</v>
      </c>
      <c r="D900" s="166">
        <v>0</v>
      </c>
    </row>
    <row r="901" spans="1:4" ht="46.5">
      <c r="A901" s="165" t="s">
        <v>640</v>
      </c>
      <c r="B901" s="165">
        <f>B893+B900</f>
        <v>42585857.521682702</v>
      </c>
      <c r="C901" s="166">
        <f>B901*1.05</f>
        <v>44715150.397766836</v>
      </c>
      <c r="D901" s="166">
        <f>C901*1.05</f>
        <v>46950907.917655177</v>
      </c>
    </row>
    <row r="902" spans="1:4" ht="31">
      <c r="A902" s="175" t="s">
        <v>641</v>
      </c>
      <c r="B902" s="175" t="s">
        <v>424</v>
      </c>
      <c r="C902" s="176" t="s">
        <v>12</v>
      </c>
      <c r="D902" s="176" t="s">
        <v>426</v>
      </c>
    </row>
    <row r="903" spans="1:4" ht="15.5">
      <c r="A903" s="175" t="s">
        <v>620</v>
      </c>
      <c r="B903" s="175"/>
      <c r="C903" s="168">
        <f t="shared" ref="C903:C912" si="46">SUM(B903:B903)</f>
        <v>0</v>
      </c>
      <c r="D903" s="176"/>
    </row>
    <row r="904" spans="1:4" ht="15.5">
      <c r="A904" s="171" t="s">
        <v>666</v>
      </c>
      <c r="B904" s="171">
        <v>0</v>
      </c>
      <c r="C904" s="168">
        <f t="shared" si="46"/>
        <v>0</v>
      </c>
      <c r="D904" s="194"/>
    </row>
    <row r="905" spans="1:4" ht="15.5">
      <c r="A905" s="171" t="s">
        <v>81</v>
      </c>
      <c r="B905" s="171">
        <v>0</v>
      </c>
      <c r="C905" s="168">
        <f t="shared" si="46"/>
        <v>0</v>
      </c>
      <c r="D905" s="194"/>
    </row>
    <row r="906" spans="1:4" ht="15.5">
      <c r="A906" s="165" t="s">
        <v>668</v>
      </c>
      <c r="B906" s="165">
        <v>0</v>
      </c>
      <c r="C906" s="168">
        <f t="shared" si="46"/>
        <v>0</v>
      </c>
      <c r="D906" s="194"/>
    </row>
    <row r="907" spans="1:4" ht="15.5">
      <c r="A907" s="171" t="s">
        <v>712</v>
      </c>
      <c r="B907" s="171">
        <v>0</v>
      </c>
      <c r="C907" s="168">
        <f t="shared" si="46"/>
        <v>0</v>
      </c>
      <c r="D907" s="194"/>
    </row>
    <row r="908" spans="1:4" ht="31">
      <c r="A908" s="171" t="s">
        <v>713</v>
      </c>
      <c r="B908" s="171">
        <v>0</v>
      </c>
      <c r="C908" s="168">
        <f t="shared" si="46"/>
        <v>0</v>
      </c>
      <c r="D908" s="194"/>
    </row>
    <row r="909" spans="1:4" ht="15.5">
      <c r="A909" s="171" t="s">
        <v>714</v>
      </c>
      <c r="B909" s="171">
        <v>0</v>
      </c>
      <c r="C909" s="168">
        <f t="shared" si="46"/>
        <v>0</v>
      </c>
      <c r="D909" s="194"/>
    </row>
    <row r="910" spans="1:4" ht="15.5">
      <c r="A910" s="171" t="s">
        <v>715</v>
      </c>
      <c r="B910" s="171">
        <v>0</v>
      </c>
      <c r="C910" s="168">
        <f t="shared" si="46"/>
        <v>0</v>
      </c>
      <c r="D910" s="194"/>
    </row>
    <row r="911" spans="1:4" ht="31">
      <c r="A911" s="171" t="s">
        <v>716</v>
      </c>
      <c r="B911" s="171">
        <v>0</v>
      </c>
      <c r="C911" s="168">
        <f t="shared" si="46"/>
        <v>0</v>
      </c>
      <c r="D911" s="194"/>
    </row>
    <row r="912" spans="1:4" ht="15.5">
      <c r="A912" s="165" t="s">
        <v>717</v>
      </c>
      <c r="B912" s="165">
        <v>0</v>
      </c>
      <c r="C912" s="168">
        <f t="shared" si="46"/>
        <v>0</v>
      </c>
      <c r="D912" s="194"/>
    </row>
    <row r="913" spans="1:4" ht="15.5">
      <c r="A913" s="196" t="s">
        <v>29</v>
      </c>
      <c r="B913" s="196">
        <f>SUM(B914:B915)</f>
        <v>1450000</v>
      </c>
      <c r="C913" s="166">
        <f>B913*1.05</f>
        <v>1522500</v>
      </c>
      <c r="D913" s="166">
        <f>C913*1.05</f>
        <v>1598625</v>
      </c>
    </row>
    <row r="914" spans="1:4" ht="15.5">
      <c r="A914" s="214" t="s">
        <v>82</v>
      </c>
      <c r="B914" s="214">
        <v>1100000</v>
      </c>
      <c r="C914" s="168">
        <f t="shared" ref="C914:D945" si="47">B914*1.05</f>
        <v>1155000</v>
      </c>
      <c r="D914" s="168">
        <f t="shared" si="47"/>
        <v>1212750</v>
      </c>
    </row>
    <row r="915" spans="1:4" ht="15.5">
      <c r="A915" s="214" t="s">
        <v>83</v>
      </c>
      <c r="B915" s="214">
        <v>350000</v>
      </c>
      <c r="C915" s="168">
        <f t="shared" si="47"/>
        <v>367500</v>
      </c>
      <c r="D915" s="168">
        <f t="shared" si="47"/>
        <v>385875</v>
      </c>
    </row>
    <row r="916" spans="1:4" ht="15.5">
      <c r="A916" s="196" t="s">
        <v>126</v>
      </c>
      <c r="B916" s="196">
        <f>SUM(B917:B919)</f>
        <v>355000</v>
      </c>
      <c r="C916" s="166">
        <f t="shared" si="47"/>
        <v>372750</v>
      </c>
      <c r="D916" s="166">
        <f t="shared" si="47"/>
        <v>391387.5</v>
      </c>
    </row>
    <row r="917" spans="1:4" ht="15.5">
      <c r="A917" s="214" t="s">
        <v>84</v>
      </c>
      <c r="B917" s="214">
        <v>170000</v>
      </c>
      <c r="C917" s="168">
        <f t="shared" si="47"/>
        <v>178500</v>
      </c>
      <c r="D917" s="168">
        <f t="shared" si="47"/>
        <v>187425</v>
      </c>
    </row>
    <row r="918" spans="1:4" ht="15.5">
      <c r="A918" s="214" t="s">
        <v>85</v>
      </c>
      <c r="B918" s="214">
        <v>150000</v>
      </c>
      <c r="C918" s="168">
        <f t="shared" si="47"/>
        <v>157500</v>
      </c>
      <c r="D918" s="168">
        <f t="shared" si="47"/>
        <v>165375</v>
      </c>
    </row>
    <row r="919" spans="1:4" ht="15.5">
      <c r="A919" s="214" t="s">
        <v>35</v>
      </c>
      <c r="B919" s="214">
        <v>35000</v>
      </c>
      <c r="C919" s="168">
        <f t="shared" si="47"/>
        <v>36750</v>
      </c>
      <c r="D919" s="168">
        <f t="shared" si="47"/>
        <v>38587.5</v>
      </c>
    </row>
    <row r="920" spans="1:4" ht="15.5">
      <c r="A920" s="196" t="s">
        <v>36</v>
      </c>
      <c r="B920" s="196">
        <f>SUM(B921:B923)</f>
        <v>2700000</v>
      </c>
      <c r="C920" s="166">
        <f t="shared" si="47"/>
        <v>2835000</v>
      </c>
      <c r="D920" s="166">
        <f t="shared" si="47"/>
        <v>2976750</v>
      </c>
    </row>
    <row r="921" spans="1:4" ht="31">
      <c r="A921" s="171" t="s">
        <v>86</v>
      </c>
      <c r="B921" s="171">
        <v>0</v>
      </c>
      <c r="C921" s="168">
        <f t="shared" si="47"/>
        <v>0</v>
      </c>
      <c r="D921" s="168">
        <f t="shared" si="47"/>
        <v>0</v>
      </c>
    </row>
    <row r="922" spans="1:4" ht="15.5">
      <c r="A922" s="214" t="s">
        <v>87</v>
      </c>
      <c r="B922" s="214">
        <v>1200000</v>
      </c>
      <c r="C922" s="168">
        <f t="shared" si="47"/>
        <v>1260000</v>
      </c>
      <c r="D922" s="168">
        <f t="shared" si="47"/>
        <v>1323000</v>
      </c>
    </row>
    <row r="923" spans="1:4" ht="15.5">
      <c r="A923" s="214" t="s">
        <v>88</v>
      </c>
      <c r="B923" s="214">
        <v>1500000</v>
      </c>
      <c r="C923" s="168">
        <f t="shared" si="47"/>
        <v>1575000</v>
      </c>
      <c r="D923" s="168">
        <f t="shared" si="47"/>
        <v>1653750</v>
      </c>
    </row>
    <row r="924" spans="1:4" ht="15.5">
      <c r="A924" s="196" t="s">
        <v>89</v>
      </c>
      <c r="B924" s="196">
        <v>0</v>
      </c>
      <c r="C924" s="168">
        <f t="shared" si="47"/>
        <v>0</v>
      </c>
      <c r="D924" s="168">
        <f t="shared" si="47"/>
        <v>0</v>
      </c>
    </row>
    <row r="925" spans="1:4" ht="15.5">
      <c r="A925" s="195" t="s">
        <v>90</v>
      </c>
      <c r="B925" s="195">
        <v>0</v>
      </c>
      <c r="C925" s="168">
        <f t="shared" si="47"/>
        <v>0</v>
      </c>
      <c r="D925" s="168">
        <f t="shared" si="47"/>
        <v>0</v>
      </c>
    </row>
    <row r="926" spans="1:4" ht="15.5">
      <c r="A926" s="195" t="s">
        <v>673</v>
      </c>
      <c r="B926" s="195">
        <v>0</v>
      </c>
      <c r="C926" s="168">
        <f t="shared" si="47"/>
        <v>0</v>
      </c>
      <c r="D926" s="168">
        <f t="shared" si="47"/>
        <v>0</v>
      </c>
    </row>
    <row r="927" spans="1:4" ht="15.5">
      <c r="A927" s="195" t="s">
        <v>41</v>
      </c>
      <c r="B927" s="195">
        <v>0</v>
      </c>
      <c r="C927" s="168">
        <f t="shared" si="47"/>
        <v>0</v>
      </c>
      <c r="D927" s="168">
        <f t="shared" si="47"/>
        <v>0</v>
      </c>
    </row>
    <row r="928" spans="1:4" ht="15.5">
      <c r="A928" s="196" t="s">
        <v>91</v>
      </c>
      <c r="B928" s="196">
        <f>SUM(B929:B932)</f>
        <v>215000</v>
      </c>
      <c r="C928" s="166">
        <f t="shared" si="47"/>
        <v>225750</v>
      </c>
      <c r="D928" s="166">
        <f t="shared" si="47"/>
        <v>237037.5</v>
      </c>
    </row>
    <row r="929" spans="1:4" ht="15.5">
      <c r="A929" s="214" t="s">
        <v>44</v>
      </c>
      <c r="B929" s="214">
        <v>62000</v>
      </c>
      <c r="C929" s="168">
        <f t="shared" si="47"/>
        <v>65100</v>
      </c>
      <c r="D929" s="168">
        <f t="shared" si="47"/>
        <v>68355</v>
      </c>
    </row>
    <row r="930" spans="1:4" ht="15.5">
      <c r="A930" s="214" t="s">
        <v>165</v>
      </c>
      <c r="B930" s="214">
        <v>13000</v>
      </c>
      <c r="C930" s="168">
        <f t="shared" si="47"/>
        <v>13650</v>
      </c>
      <c r="D930" s="168">
        <f t="shared" si="47"/>
        <v>14332.5</v>
      </c>
    </row>
    <row r="931" spans="1:4" ht="15.5">
      <c r="A931" s="214" t="s">
        <v>45</v>
      </c>
      <c r="B931" s="214">
        <v>140000</v>
      </c>
      <c r="C931" s="168">
        <f t="shared" si="47"/>
        <v>147000</v>
      </c>
      <c r="D931" s="168">
        <f t="shared" si="47"/>
        <v>154350</v>
      </c>
    </row>
    <row r="932" spans="1:4" ht="15.5">
      <c r="A932" s="201" t="s">
        <v>46</v>
      </c>
      <c r="B932" s="201">
        <v>0</v>
      </c>
      <c r="C932" s="168">
        <f t="shared" si="47"/>
        <v>0</v>
      </c>
      <c r="D932" s="168">
        <f t="shared" si="47"/>
        <v>0</v>
      </c>
    </row>
    <row r="933" spans="1:4" ht="15.5">
      <c r="A933" s="195" t="s">
        <v>718</v>
      </c>
      <c r="B933" s="195">
        <v>0</v>
      </c>
      <c r="C933" s="168">
        <f t="shared" si="47"/>
        <v>0</v>
      </c>
      <c r="D933" s="168">
        <f t="shared" si="47"/>
        <v>0</v>
      </c>
    </row>
    <row r="934" spans="1:4" ht="15.5">
      <c r="A934" s="195" t="s">
        <v>719</v>
      </c>
      <c r="B934" s="195">
        <v>0</v>
      </c>
      <c r="C934" s="168">
        <f t="shared" si="47"/>
        <v>0</v>
      </c>
      <c r="D934" s="168">
        <f t="shared" si="47"/>
        <v>0</v>
      </c>
    </row>
    <row r="935" spans="1:4" ht="15.5">
      <c r="A935" s="196" t="s">
        <v>47</v>
      </c>
      <c r="B935" s="196">
        <f>SUM(B936:B937)</f>
        <v>960000</v>
      </c>
      <c r="C935" s="166">
        <f t="shared" si="47"/>
        <v>1008000</v>
      </c>
      <c r="D935" s="166">
        <f t="shared" si="47"/>
        <v>1058400</v>
      </c>
    </row>
    <row r="936" spans="1:4" ht="15.5">
      <c r="A936" s="195" t="s">
        <v>93</v>
      </c>
      <c r="B936" s="195">
        <v>520000</v>
      </c>
      <c r="C936" s="168">
        <f t="shared" si="47"/>
        <v>546000</v>
      </c>
      <c r="D936" s="168">
        <f t="shared" si="47"/>
        <v>573300</v>
      </c>
    </row>
    <row r="937" spans="1:4" ht="15.5">
      <c r="A937" s="195" t="s">
        <v>94</v>
      </c>
      <c r="B937" s="195">
        <v>440000</v>
      </c>
      <c r="C937" s="168">
        <f t="shared" si="47"/>
        <v>462000</v>
      </c>
      <c r="D937" s="168">
        <f t="shared" si="47"/>
        <v>485100</v>
      </c>
    </row>
    <row r="938" spans="1:4" ht="15.5">
      <c r="A938" s="196" t="s">
        <v>49</v>
      </c>
      <c r="B938" s="196">
        <f>SUM(B939:B940)</f>
        <v>2600000</v>
      </c>
      <c r="C938" s="166">
        <f t="shared" si="47"/>
        <v>2730000</v>
      </c>
      <c r="D938" s="166">
        <f t="shared" si="47"/>
        <v>2866500</v>
      </c>
    </row>
    <row r="939" spans="1:4" ht="15.5">
      <c r="A939" s="214" t="s">
        <v>675</v>
      </c>
      <c r="B939" s="214">
        <v>1100000</v>
      </c>
      <c r="C939" s="168">
        <f t="shared" si="47"/>
        <v>1155000</v>
      </c>
      <c r="D939" s="168">
        <f t="shared" si="47"/>
        <v>1212750</v>
      </c>
    </row>
    <row r="940" spans="1:4" ht="15.5">
      <c r="A940" s="214" t="s">
        <v>134</v>
      </c>
      <c r="B940" s="214">
        <v>1500000</v>
      </c>
      <c r="C940" s="168">
        <f t="shared" si="47"/>
        <v>1575000</v>
      </c>
      <c r="D940" s="168">
        <f t="shared" si="47"/>
        <v>1653750</v>
      </c>
    </row>
    <row r="941" spans="1:4" ht="15.5">
      <c r="A941" s="201" t="s">
        <v>135</v>
      </c>
      <c r="B941" s="201">
        <v>0</v>
      </c>
      <c r="C941" s="168">
        <f t="shared" si="47"/>
        <v>0</v>
      </c>
      <c r="D941" s="168">
        <f t="shared" si="47"/>
        <v>0</v>
      </c>
    </row>
    <row r="942" spans="1:4" ht="15.5">
      <c r="A942" s="201" t="s">
        <v>54</v>
      </c>
      <c r="B942" s="201">
        <v>0</v>
      </c>
      <c r="C942" s="168">
        <f t="shared" si="47"/>
        <v>0</v>
      </c>
      <c r="D942" s="168">
        <f t="shared" si="47"/>
        <v>0</v>
      </c>
    </row>
    <row r="943" spans="1:4" ht="15.5">
      <c r="A943" s="196" t="s">
        <v>677</v>
      </c>
      <c r="B943" s="196">
        <f>SUM(B944:B953)</f>
        <v>25920000</v>
      </c>
      <c r="C943" s="166">
        <f t="shared" si="47"/>
        <v>27216000</v>
      </c>
      <c r="D943" s="166">
        <f t="shared" si="47"/>
        <v>28576800</v>
      </c>
    </row>
    <row r="944" spans="1:4" ht="15.5">
      <c r="A944" s="214" t="s">
        <v>678</v>
      </c>
      <c r="B944" s="214">
        <v>10000000</v>
      </c>
      <c r="C944" s="168">
        <f t="shared" si="47"/>
        <v>10500000</v>
      </c>
      <c r="D944" s="168">
        <f t="shared" si="47"/>
        <v>11025000</v>
      </c>
    </row>
    <row r="945" spans="1:4" ht="15.5">
      <c r="A945" s="214" t="s">
        <v>679</v>
      </c>
      <c r="B945" s="214">
        <v>5000000</v>
      </c>
      <c r="C945" s="168">
        <f t="shared" si="47"/>
        <v>5250000</v>
      </c>
      <c r="D945" s="168">
        <f t="shared" si="47"/>
        <v>5512500</v>
      </c>
    </row>
    <row r="946" spans="1:4" ht="15.5">
      <c r="A946" s="214" t="s">
        <v>137</v>
      </c>
      <c r="B946" s="214">
        <v>1500000</v>
      </c>
      <c r="C946" s="168">
        <f t="shared" ref="C946:D977" si="48">B946*1.05</f>
        <v>1575000</v>
      </c>
      <c r="D946" s="168">
        <f t="shared" si="48"/>
        <v>1653750</v>
      </c>
    </row>
    <row r="947" spans="1:4" ht="15.5">
      <c r="A947" s="214" t="s">
        <v>680</v>
      </c>
      <c r="B947" s="214">
        <v>320000</v>
      </c>
      <c r="C947" s="168">
        <f t="shared" si="48"/>
        <v>336000</v>
      </c>
      <c r="D947" s="168">
        <f t="shared" si="48"/>
        <v>352800</v>
      </c>
    </row>
    <row r="948" spans="1:4" ht="15.5">
      <c r="A948" s="214" t="s">
        <v>681</v>
      </c>
      <c r="B948" s="214">
        <v>4200000</v>
      </c>
      <c r="C948" s="168">
        <f t="shared" si="48"/>
        <v>4410000</v>
      </c>
      <c r="D948" s="168">
        <f t="shared" si="48"/>
        <v>4630500</v>
      </c>
    </row>
    <row r="949" spans="1:4" ht="15.5">
      <c r="A949" s="214" t="s">
        <v>682</v>
      </c>
      <c r="B949" s="214">
        <v>3600000</v>
      </c>
      <c r="C949" s="168">
        <f t="shared" si="48"/>
        <v>3780000</v>
      </c>
      <c r="D949" s="168">
        <f t="shared" si="48"/>
        <v>3969000</v>
      </c>
    </row>
    <row r="950" spans="1:4" ht="15.5">
      <c r="A950" s="214" t="s">
        <v>720</v>
      </c>
      <c r="B950" s="214">
        <v>250000</v>
      </c>
      <c r="C950" s="168">
        <f t="shared" si="48"/>
        <v>262500</v>
      </c>
      <c r="D950" s="168">
        <f t="shared" si="48"/>
        <v>275625</v>
      </c>
    </row>
    <row r="951" spans="1:4" ht="15.5">
      <c r="A951" s="200" t="s">
        <v>721</v>
      </c>
      <c r="B951" s="200">
        <v>0</v>
      </c>
      <c r="C951" s="168">
        <f t="shared" si="48"/>
        <v>0</v>
      </c>
      <c r="D951" s="168">
        <f t="shared" si="48"/>
        <v>0</v>
      </c>
    </row>
    <row r="952" spans="1:4" ht="15.5">
      <c r="A952" s="214" t="s">
        <v>683</v>
      </c>
      <c r="B952" s="214">
        <v>550000</v>
      </c>
      <c r="C952" s="168">
        <f t="shared" si="48"/>
        <v>577500</v>
      </c>
      <c r="D952" s="168">
        <f t="shared" si="48"/>
        <v>606375</v>
      </c>
    </row>
    <row r="953" spans="1:4" ht="15.5">
      <c r="A953" s="171" t="s">
        <v>722</v>
      </c>
      <c r="B953" s="171">
        <v>500000</v>
      </c>
      <c r="C953" s="168">
        <f t="shared" si="48"/>
        <v>525000</v>
      </c>
      <c r="D953" s="168">
        <f t="shared" si="48"/>
        <v>551250</v>
      </c>
    </row>
    <row r="954" spans="1:4" ht="15.5">
      <c r="A954" s="196" t="s">
        <v>55</v>
      </c>
      <c r="B954" s="196">
        <f>SUM(B955:B957)</f>
        <v>2150000</v>
      </c>
      <c r="C954" s="166">
        <f t="shared" si="48"/>
        <v>2257500</v>
      </c>
      <c r="D954" s="166">
        <f t="shared" si="48"/>
        <v>2370375</v>
      </c>
    </row>
    <row r="955" spans="1:4" ht="15.5">
      <c r="A955" s="214" t="s">
        <v>685</v>
      </c>
      <c r="B955" s="214">
        <v>350000</v>
      </c>
      <c r="C955" s="168">
        <f t="shared" si="48"/>
        <v>367500</v>
      </c>
      <c r="D955" s="168">
        <f t="shared" si="48"/>
        <v>385875</v>
      </c>
    </row>
    <row r="956" spans="1:4" ht="15.5">
      <c r="A956" s="214" t="s">
        <v>167</v>
      </c>
      <c r="B956" s="214">
        <v>800000</v>
      </c>
      <c r="C956" s="168">
        <f t="shared" si="48"/>
        <v>840000</v>
      </c>
      <c r="D956" s="168">
        <f t="shared" si="48"/>
        <v>882000</v>
      </c>
    </row>
    <row r="957" spans="1:4" ht="15.5">
      <c r="A957" s="214" t="s">
        <v>57</v>
      </c>
      <c r="B957" s="214">
        <v>1000000</v>
      </c>
      <c r="C957" s="168">
        <f t="shared" si="48"/>
        <v>1050000</v>
      </c>
      <c r="D957" s="168">
        <f t="shared" si="48"/>
        <v>1102500</v>
      </c>
    </row>
    <row r="958" spans="1:4" ht="15.5">
      <c r="A958" s="196" t="s">
        <v>58</v>
      </c>
      <c r="B958" s="196">
        <f>SUM(B959:B960)</f>
        <v>700000</v>
      </c>
      <c r="C958" s="166">
        <f t="shared" si="48"/>
        <v>735000</v>
      </c>
      <c r="D958" s="166">
        <f t="shared" si="48"/>
        <v>771750</v>
      </c>
    </row>
    <row r="959" spans="1:4" ht="15.5">
      <c r="A959" s="214" t="s">
        <v>102</v>
      </c>
      <c r="B959" s="214">
        <v>200000</v>
      </c>
      <c r="C959" s="168">
        <f t="shared" si="48"/>
        <v>210000</v>
      </c>
      <c r="D959" s="168">
        <f t="shared" si="48"/>
        <v>220500</v>
      </c>
    </row>
    <row r="960" spans="1:4" ht="15.5">
      <c r="A960" s="214" t="s">
        <v>723</v>
      </c>
      <c r="B960" s="214">
        <v>500000</v>
      </c>
      <c r="C960" s="168">
        <f t="shared" si="48"/>
        <v>525000</v>
      </c>
      <c r="D960" s="168">
        <f t="shared" si="48"/>
        <v>551250</v>
      </c>
    </row>
    <row r="961" spans="1:4" ht="15.5">
      <c r="A961" s="196" t="s">
        <v>60</v>
      </c>
      <c r="B961" s="196">
        <f>SUM(B962:B966)</f>
        <v>5050000</v>
      </c>
      <c r="C961" s="166">
        <f t="shared" si="48"/>
        <v>5302500</v>
      </c>
      <c r="D961" s="166">
        <f t="shared" si="48"/>
        <v>5567625</v>
      </c>
    </row>
    <row r="962" spans="1:4" ht="15.5">
      <c r="A962" s="214" t="s">
        <v>724</v>
      </c>
      <c r="B962" s="214">
        <v>50000</v>
      </c>
      <c r="C962" s="168">
        <f t="shared" si="48"/>
        <v>52500</v>
      </c>
      <c r="D962" s="168">
        <f t="shared" si="48"/>
        <v>55125</v>
      </c>
    </row>
    <row r="963" spans="1:4" ht="15.5">
      <c r="A963" s="214" t="s">
        <v>725</v>
      </c>
      <c r="B963" s="214">
        <v>1600000</v>
      </c>
      <c r="C963" s="168">
        <f t="shared" si="48"/>
        <v>1680000</v>
      </c>
      <c r="D963" s="168">
        <f t="shared" si="48"/>
        <v>1764000</v>
      </c>
    </row>
    <row r="964" spans="1:4" ht="15.5">
      <c r="A964" s="195" t="s">
        <v>103</v>
      </c>
      <c r="B964" s="195">
        <v>2100000</v>
      </c>
      <c r="C964" s="168">
        <f t="shared" si="48"/>
        <v>2205000</v>
      </c>
      <c r="D964" s="168">
        <f t="shared" si="48"/>
        <v>2315250</v>
      </c>
    </row>
    <row r="965" spans="1:4" ht="15.5">
      <c r="A965" s="195" t="s">
        <v>61</v>
      </c>
      <c r="B965" s="195">
        <v>500000</v>
      </c>
      <c r="C965" s="168">
        <f t="shared" si="48"/>
        <v>525000</v>
      </c>
      <c r="D965" s="168">
        <f t="shared" si="48"/>
        <v>551250</v>
      </c>
    </row>
    <row r="966" spans="1:4" ht="15.5">
      <c r="A966" s="195" t="s">
        <v>726</v>
      </c>
      <c r="B966" s="195">
        <v>800000</v>
      </c>
      <c r="C966" s="168">
        <f t="shared" si="48"/>
        <v>840000</v>
      </c>
      <c r="D966" s="168">
        <f t="shared" si="48"/>
        <v>882000</v>
      </c>
    </row>
    <row r="967" spans="1:4" ht="15.5">
      <c r="A967" s="196" t="s">
        <v>64</v>
      </c>
      <c r="B967" s="196">
        <f>B968</f>
        <v>700000</v>
      </c>
      <c r="C967" s="166">
        <f t="shared" si="48"/>
        <v>735000</v>
      </c>
      <c r="D967" s="166">
        <f t="shared" si="48"/>
        <v>771750</v>
      </c>
    </row>
    <row r="968" spans="1:4" ht="15.5">
      <c r="A968" s="214" t="s">
        <v>65</v>
      </c>
      <c r="B968" s="214">
        <v>700000</v>
      </c>
      <c r="C968" s="168">
        <f t="shared" si="48"/>
        <v>735000</v>
      </c>
      <c r="D968" s="168">
        <f t="shared" si="48"/>
        <v>771750</v>
      </c>
    </row>
    <row r="969" spans="1:4" ht="15.5">
      <c r="A969" s="196" t="s">
        <v>112</v>
      </c>
      <c r="B969" s="196">
        <f>SUM(B970:B974)</f>
        <v>5450000</v>
      </c>
      <c r="C969" s="166">
        <f t="shared" si="48"/>
        <v>5722500</v>
      </c>
      <c r="D969" s="166">
        <f t="shared" si="48"/>
        <v>6008625</v>
      </c>
    </row>
    <row r="970" spans="1:4" ht="15.5">
      <c r="A970" s="214" t="s">
        <v>113</v>
      </c>
      <c r="B970" s="214">
        <v>300000</v>
      </c>
      <c r="C970" s="168">
        <f t="shared" si="48"/>
        <v>315000</v>
      </c>
      <c r="D970" s="168">
        <f t="shared" si="48"/>
        <v>330750</v>
      </c>
    </row>
    <row r="971" spans="1:4" ht="15.5">
      <c r="A971" s="214" t="s">
        <v>66</v>
      </c>
      <c r="B971" s="214">
        <v>150000</v>
      </c>
      <c r="C971" s="168">
        <f t="shared" si="48"/>
        <v>157500</v>
      </c>
      <c r="D971" s="168">
        <f t="shared" si="48"/>
        <v>165375</v>
      </c>
    </row>
    <row r="972" spans="1:4" ht="15.5">
      <c r="A972" s="214" t="s">
        <v>689</v>
      </c>
      <c r="B972" s="214">
        <v>500000</v>
      </c>
      <c r="C972" s="168">
        <f t="shared" si="48"/>
        <v>525000</v>
      </c>
      <c r="D972" s="168">
        <f t="shared" si="48"/>
        <v>551250</v>
      </c>
    </row>
    <row r="973" spans="1:4" ht="15.5">
      <c r="A973" s="214" t="s">
        <v>142</v>
      </c>
      <c r="B973" s="214">
        <v>4000000</v>
      </c>
      <c r="C973" s="168">
        <f t="shared" si="48"/>
        <v>4200000</v>
      </c>
      <c r="D973" s="168">
        <f t="shared" si="48"/>
        <v>4410000</v>
      </c>
    </row>
    <row r="974" spans="1:4" ht="31">
      <c r="A974" s="171" t="s">
        <v>67</v>
      </c>
      <c r="B974" s="171">
        <v>500000</v>
      </c>
      <c r="C974" s="168">
        <f t="shared" si="48"/>
        <v>525000</v>
      </c>
      <c r="D974" s="168">
        <f t="shared" si="48"/>
        <v>551250</v>
      </c>
    </row>
    <row r="975" spans="1:4" ht="15.5">
      <c r="A975" s="200" t="s">
        <v>672</v>
      </c>
      <c r="B975" s="200">
        <v>0</v>
      </c>
      <c r="C975" s="168">
        <f t="shared" si="48"/>
        <v>0</v>
      </c>
      <c r="D975" s="168">
        <f t="shared" si="48"/>
        <v>0</v>
      </c>
    </row>
    <row r="976" spans="1:4" ht="15.5">
      <c r="A976" s="196" t="s">
        <v>727</v>
      </c>
      <c r="B976" s="196">
        <f>B977</f>
        <v>700000</v>
      </c>
      <c r="C976" s="166">
        <f t="shared" si="48"/>
        <v>735000</v>
      </c>
      <c r="D976" s="166">
        <f t="shared" si="48"/>
        <v>771750</v>
      </c>
    </row>
    <row r="977" spans="1:4" ht="31">
      <c r="A977" s="171" t="s">
        <v>694</v>
      </c>
      <c r="B977" s="171">
        <v>700000</v>
      </c>
      <c r="C977" s="168">
        <f t="shared" si="48"/>
        <v>735000</v>
      </c>
      <c r="D977" s="168">
        <f t="shared" si="48"/>
        <v>771750</v>
      </c>
    </row>
    <row r="978" spans="1:4" ht="15.5">
      <c r="A978" s="196" t="s">
        <v>115</v>
      </c>
      <c r="B978" s="196">
        <f>SUM(B979:B982)</f>
        <v>850000</v>
      </c>
      <c r="C978" s="166">
        <f t="shared" ref="C978:D997" si="49">B978*1.05</f>
        <v>892500</v>
      </c>
      <c r="D978" s="166">
        <f t="shared" si="49"/>
        <v>937125</v>
      </c>
    </row>
    <row r="979" spans="1:4" ht="15.5">
      <c r="A979" s="214" t="s">
        <v>69</v>
      </c>
      <c r="B979" s="214">
        <v>350000</v>
      </c>
      <c r="C979" s="168">
        <f t="shared" si="49"/>
        <v>367500</v>
      </c>
      <c r="D979" s="168">
        <f t="shared" si="49"/>
        <v>385875</v>
      </c>
    </row>
    <row r="980" spans="1:4" ht="15.5">
      <c r="A980" s="214" t="s">
        <v>70</v>
      </c>
      <c r="B980" s="214">
        <v>0</v>
      </c>
      <c r="C980" s="168">
        <f t="shared" si="49"/>
        <v>0</v>
      </c>
      <c r="D980" s="168">
        <f t="shared" si="49"/>
        <v>0</v>
      </c>
    </row>
    <row r="981" spans="1:4" ht="15.5">
      <c r="A981" s="215" t="s">
        <v>728</v>
      </c>
      <c r="B981" s="215">
        <v>0</v>
      </c>
      <c r="C981" s="168">
        <f t="shared" si="49"/>
        <v>0</v>
      </c>
      <c r="D981" s="168">
        <f t="shared" si="49"/>
        <v>0</v>
      </c>
    </row>
    <row r="982" spans="1:4" ht="15.5">
      <c r="A982" s="215" t="s">
        <v>729</v>
      </c>
      <c r="B982" s="215">
        <v>500000</v>
      </c>
      <c r="C982" s="168">
        <f t="shared" si="49"/>
        <v>525000</v>
      </c>
      <c r="D982" s="168">
        <f t="shared" si="49"/>
        <v>551250</v>
      </c>
    </row>
    <row r="983" spans="1:4" ht="15.5">
      <c r="A983" s="196" t="s">
        <v>730</v>
      </c>
      <c r="B983" s="196">
        <f>SUM(B984:B987)</f>
        <v>0</v>
      </c>
      <c r="C983" s="166">
        <f t="shared" si="49"/>
        <v>0</v>
      </c>
      <c r="D983" s="166">
        <f t="shared" si="49"/>
        <v>0</v>
      </c>
    </row>
    <row r="984" spans="1:4" ht="15.5">
      <c r="A984" s="195" t="s">
        <v>731</v>
      </c>
      <c r="B984" s="195">
        <v>0</v>
      </c>
      <c r="C984" s="168">
        <f t="shared" si="49"/>
        <v>0</v>
      </c>
      <c r="D984" s="168">
        <f t="shared" si="49"/>
        <v>0</v>
      </c>
    </row>
    <row r="985" spans="1:4" ht="15.5">
      <c r="A985" s="214" t="s">
        <v>732</v>
      </c>
      <c r="B985" s="214">
        <v>0</v>
      </c>
      <c r="C985" s="168">
        <f t="shared" si="49"/>
        <v>0</v>
      </c>
      <c r="D985" s="168">
        <f t="shared" si="49"/>
        <v>0</v>
      </c>
    </row>
    <row r="986" spans="1:4" ht="15.5">
      <c r="A986" s="202" t="s">
        <v>733</v>
      </c>
      <c r="B986" s="202"/>
      <c r="C986" s="168">
        <f t="shared" si="49"/>
        <v>0</v>
      </c>
      <c r="D986" s="168">
        <f t="shared" si="49"/>
        <v>0</v>
      </c>
    </row>
    <row r="987" spans="1:4" ht="15.5">
      <c r="A987" s="201" t="s">
        <v>741</v>
      </c>
      <c r="B987" s="201"/>
      <c r="C987" s="168">
        <f t="shared" si="49"/>
        <v>0</v>
      </c>
      <c r="D987" s="168">
        <f t="shared" si="49"/>
        <v>0</v>
      </c>
    </row>
    <row r="988" spans="1:4" ht="31">
      <c r="A988" s="175" t="s">
        <v>642</v>
      </c>
      <c r="B988" s="175">
        <f>B983+B978+B976+B969+B967+B961+B958+B954+B943+B938+B935+B928+B920+B916+B913</f>
        <v>49800000</v>
      </c>
      <c r="C988" s="166">
        <f t="shared" si="49"/>
        <v>52290000</v>
      </c>
      <c r="D988" s="166">
        <f t="shared" si="49"/>
        <v>54904500</v>
      </c>
    </row>
    <row r="989" spans="1:4" ht="15.5">
      <c r="A989" s="179" t="s">
        <v>672</v>
      </c>
      <c r="B989" s="179"/>
      <c r="C989" s="168">
        <f t="shared" si="49"/>
        <v>0</v>
      </c>
      <c r="D989" s="168">
        <f t="shared" si="49"/>
        <v>0</v>
      </c>
    </row>
    <row r="990" spans="1:4" ht="15.5">
      <c r="A990" s="179" t="s">
        <v>612</v>
      </c>
      <c r="B990" s="179"/>
      <c r="C990" s="168">
        <f t="shared" si="49"/>
        <v>0</v>
      </c>
      <c r="D990" s="168">
        <f t="shared" si="49"/>
        <v>0</v>
      </c>
    </row>
    <row r="991" spans="1:4" ht="15.5">
      <c r="A991" s="179" t="s">
        <v>739</v>
      </c>
      <c r="B991" s="179">
        <v>0</v>
      </c>
      <c r="C991" s="168">
        <f t="shared" si="49"/>
        <v>0</v>
      </c>
      <c r="D991" s="168">
        <f t="shared" si="49"/>
        <v>0</v>
      </c>
    </row>
    <row r="992" spans="1:4" ht="15.5">
      <c r="A992" s="179" t="s">
        <v>156</v>
      </c>
      <c r="B992" s="179">
        <v>0</v>
      </c>
      <c r="C992" s="168">
        <f t="shared" si="49"/>
        <v>0</v>
      </c>
      <c r="D992" s="168">
        <f t="shared" si="49"/>
        <v>0</v>
      </c>
    </row>
    <row r="993" spans="1:4" ht="15.5">
      <c r="A993" s="179" t="s">
        <v>694</v>
      </c>
      <c r="B993" s="179">
        <v>0</v>
      </c>
      <c r="C993" s="168">
        <f t="shared" si="49"/>
        <v>0</v>
      </c>
      <c r="D993" s="168">
        <f t="shared" si="49"/>
        <v>0</v>
      </c>
    </row>
    <row r="994" spans="1:4" ht="15.5">
      <c r="A994" s="179" t="s">
        <v>742</v>
      </c>
      <c r="B994" s="179">
        <v>0</v>
      </c>
      <c r="C994" s="168">
        <f t="shared" si="49"/>
        <v>0</v>
      </c>
      <c r="D994" s="168">
        <f t="shared" si="49"/>
        <v>0</v>
      </c>
    </row>
    <row r="995" spans="1:4" ht="15.5">
      <c r="A995" s="179" t="s">
        <v>741</v>
      </c>
      <c r="B995" s="179">
        <v>0</v>
      </c>
      <c r="C995" s="168">
        <f t="shared" si="49"/>
        <v>0</v>
      </c>
      <c r="D995" s="168">
        <f t="shared" si="49"/>
        <v>0</v>
      </c>
    </row>
    <row r="996" spans="1:4" ht="15.5">
      <c r="A996" s="179" t="s">
        <v>643</v>
      </c>
      <c r="B996" s="179">
        <v>0</v>
      </c>
      <c r="C996" s="168">
        <f t="shared" si="49"/>
        <v>0</v>
      </c>
      <c r="D996" s="168">
        <f t="shared" si="49"/>
        <v>0</v>
      </c>
    </row>
    <row r="997" spans="1:4" ht="15.5">
      <c r="A997" s="179" t="s">
        <v>644</v>
      </c>
      <c r="B997" s="179">
        <f>B988+B996</f>
        <v>49800000</v>
      </c>
      <c r="C997" s="166">
        <f t="shared" si="49"/>
        <v>52290000</v>
      </c>
      <c r="D997" s="166">
        <f t="shared" si="49"/>
        <v>54904500</v>
      </c>
    </row>
    <row r="998" spans="1:4" ht="31">
      <c r="A998" s="175" t="s">
        <v>645</v>
      </c>
      <c r="B998" s="175" t="s">
        <v>424</v>
      </c>
      <c r="C998" s="176" t="s">
        <v>12</v>
      </c>
      <c r="D998" s="176" t="s">
        <v>426</v>
      </c>
    </row>
    <row r="999" spans="1:4" ht="15.5">
      <c r="A999" s="179" t="s">
        <v>620</v>
      </c>
      <c r="B999" s="179"/>
      <c r="C999" s="168">
        <f>SUM(B999:B999)</f>
        <v>0</v>
      </c>
      <c r="D999" s="197"/>
    </row>
    <row r="1000" spans="1:4" ht="31">
      <c r="A1000" s="171" t="s">
        <v>716</v>
      </c>
      <c r="B1000" s="171">
        <v>0</v>
      </c>
      <c r="C1000" s="168">
        <f>SUM(B1000:B1000)</f>
        <v>0</v>
      </c>
      <c r="D1000" s="194"/>
    </row>
    <row r="1001" spans="1:4" ht="15.5">
      <c r="A1001" s="165" t="s">
        <v>717</v>
      </c>
      <c r="B1001" s="165">
        <v>0</v>
      </c>
      <c r="C1001" s="168">
        <f>SUM(B1001:B1001)</f>
        <v>0</v>
      </c>
      <c r="D1001" s="194"/>
    </row>
    <row r="1002" spans="1:4" ht="15.5">
      <c r="A1002" s="196" t="s">
        <v>29</v>
      </c>
      <c r="B1002" s="196">
        <f>SUM(B1003:B1004)</f>
        <v>1950000</v>
      </c>
      <c r="C1002" s="166">
        <f>B1002*1.05</f>
        <v>2047500</v>
      </c>
      <c r="D1002" s="166">
        <f>C1002*1.05</f>
        <v>2149875</v>
      </c>
    </row>
    <row r="1003" spans="1:4" ht="15.5">
      <c r="A1003" s="195" t="s">
        <v>82</v>
      </c>
      <c r="B1003" s="195">
        <v>1450000</v>
      </c>
      <c r="C1003" s="168">
        <f t="shared" ref="C1003:D1034" si="50">B1003*1.05</f>
        <v>1522500</v>
      </c>
      <c r="D1003" s="168">
        <f t="shared" si="50"/>
        <v>1598625</v>
      </c>
    </row>
    <row r="1004" spans="1:4" ht="15.5">
      <c r="A1004" s="195" t="s">
        <v>83</v>
      </c>
      <c r="B1004" s="195">
        <v>500000</v>
      </c>
      <c r="C1004" s="168">
        <f t="shared" si="50"/>
        <v>525000</v>
      </c>
      <c r="D1004" s="168">
        <f t="shared" si="50"/>
        <v>551250</v>
      </c>
    </row>
    <row r="1005" spans="1:4" ht="15.5">
      <c r="A1005" s="196" t="s">
        <v>126</v>
      </c>
      <c r="B1005" s="196">
        <f>SUM(B1006:B1008)</f>
        <v>490000</v>
      </c>
      <c r="C1005" s="166">
        <f t="shared" si="50"/>
        <v>514500</v>
      </c>
      <c r="D1005" s="166">
        <f t="shared" si="50"/>
        <v>540225</v>
      </c>
    </row>
    <row r="1006" spans="1:4" ht="15.5">
      <c r="A1006" s="195" t="s">
        <v>84</v>
      </c>
      <c r="B1006" s="195">
        <v>100000</v>
      </c>
      <c r="C1006" s="168">
        <f t="shared" si="50"/>
        <v>105000</v>
      </c>
      <c r="D1006" s="168">
        <f t="shared" si="50"/>
        <v>110250</v>
      </c>
    </row>
    <row r="1007" spans="1:4" ht="15.5">
      <c r="A1007" s="195" t="s">
        <v>85</v>
      </c>
      <c r="B1007" s="195">
        <v>350000</v>
      </c>
      <c r="C1007" s="168">
        <f t="shared" si="50"/>
        <v>367500</v>
      </c>
      <c r="D1007" s="168">
        <f t="shared" si="50"/>
        <v>385875</v>
      </c>
    </row>
    <row r="1008" spans="1:4" ht="15.5">
      <c r="A1008" s="195" t="s">
        <v>35</v>
      </c>
      <c r="B1008" s="195">
        <v>40000</v>
      </c>
      <c r="C1008" s="168">
        <f t="shared" si="50"/>
        <v>42000</v>
      </c>
      <c r="D1008" s="168">
        <f t="shared" si="50"/>
        <v>44100</v>
      </c>
    </row>
    <row r="1009" spans="1:4" ht="15.5">
      <c r="A1009" s="196" t="s">
        <v>36</v>
      </c>
      <c r="B1009" s="196">
        <f>SUM(B1010:B1012)</f>
        <v>2900000</v>
      </c>
      <c r="C1009" s="166">
        <f t="shared" si="50"/>
        <v>3045000</v>
      </c>
      <c r="D1009" s="166">
        <f t="shared" si="50"/>
        <v>3197250</v>
      </c>
    </row>
    <row r="1010" spans="1:4" ht="15.5">
      <c r="A1010" s="195" t="s">
        <v>86</v>
      </c>
      <c r="B1010" s="195">
        <v>450000</v>
      </c>
      <c r="C1010" s="168">
        <f t="shared" si="50"/>
        <v>472500</v>
      </c>
      <c r="D1010" s="168">
        <f t="shared" si="50"/>
        <v>496125</v>
      </c>
    </row>
    <row r="1011" spans="1:4" ht="15.5">
      <c r="A1011" s="195" t="s">
        <v>87</v>
      </c>
      <c r="B1011" s="195">
        <v>450000</v>
      </c>
      <c r="C1011" s="168">
        <f t="shared" si="50"/>
        <v>472500</v>
      </c>
      <c r="D1011" s="168">
        <f t="shared" si="50"/>
        <v>496125</v>
      </c>
    </row>
    <row r="1012" spans="1:4" ht="15.5">
      <c r="A1012" s="195" t="s">
        <v>88</v>
      </c>
      <c r="B1012" s="195">
        <v>2000000</v>
      </c>
      <c r="C1012" s="168">
        <f t="shared" si="50"/>
        <v>2100000</v>
      </c>
      <c r="D1012" s="168">
        <f t="shared" si="50"/>
        <v>2205000</v>
      </c>
    </row>
    <row r="1013" spans="1:4" ht="15.5">
      <c r="A1013" s="196" t="s">
        <v>89</v>
      </c>
      <c r="B1013" s="196">
        <v>0</v>
      </c>
      <c r="C1013" s="166">
        <f t="shared" si="50"/>
        <v>0</v>
      </c>
      <c r="D1013" s="166">
        <f t="shared" si="50"/>
        <v>0</v>
      </c>
    </row>
    <row r="1014" spans="1:4" ht="15.5">
      <c r="A1014" s="195" t="s">
        <v>90</v>
      </c>
      <c r="B1014" s="195">
        <v>0</v>
      </c>
      <c r="C1014" s="168">
        <f t="shared" si="50"/>
        <v>0</v>
      </c>
      <c r="D1014" s="168">
        <f t="shared" si="50"/>
        <v>0</v>
      </c>
    </row>
    <row r="1015" spans="1:4" ht="15.5">
      <c r="A1015" s="195" t="s">
        <v>673</v>
      </c>
      <c r="B1015" s="195">
        <v>0</v>
      </c>
      <c r="C1015" s="168">
        <f t="shared" si="50"/>
        <v>0</v>
      </c>
      <c r="D1015" s="168">
        <f t="shared" si="50"/>
        <v>0</v>
      </c>
    </row>
    <row r="1016" spans="1:4" ht="15.5">
      <c r="A1016" s="195" t="s">
        <v>41</v>
      </c>
      <c r="B1016" s="195">
        <v>0</v>
      </c>
      <c r="C1016" s="168">
        <f t="shared" si="50"/>
        <v>0</v>
      </c>
      <c r="D1016" s="168">
        <f t="shared" si="50"/>
        <v>0</v>
      </c>
    </row>
    <row r="1017" spans="1:4" ht="15.5">
      <c r="A1017" s="196" t="s">
        <v>91</v>
      </c>
      <c r="B1017" s="196">
        <f>SUM(B1018:B1021)</f>
        <v>4507000</v>
      </c>
      <c r="C1017" s="166">
        <f t="shared" si="50"/>
        <v>4732350</v>
      </c>
      <c r="D1017" s="166">
        <f t="shared" si="50"/>
        <v>4968967.5</v>
      </c>
    </row>
    <row r="1018" spans="1:4" ht="15.5">
      <c r="A1018" s="195" t="s">
        <v>44</v>
      </c>
      <c r="B1018" s="195">
        <v>2000000</v>
      </c>
      <c r="C1018" s="168">
        <f t="shared" si="50"/>
        <v>2100000</v>
      </c>
      <c r="D1018" s="168">
        <f t="shared" si="50"/>
        <v>2205000</v>
      </c>
    </row>
    <row r="1019" spans="1:4" ht="15.5">
      <c r="A1019" s="195" t="s">
        <v>165</v>
      </c>
      <c r="B1019" s="195">
        <v>7000</v>
      </c>
      <c r="C1019" s="168">
        <f t="shared" si="50"/>
        <v>7350</v>
      </c>
      <c r="D1019" s="168">
        <f t="shared" si="50"/>
        <v>7717.5</v>
      </c>
    </row>
    <row r="1020" spans="1:4" ht="15.5">
      <c r="A1020" s="195" t="s">
        <v>45</v>
      </c>
      <c r="B1020" s="195">
        <v>1000000</v>
      </c>
      <c r="C1020" s="168">
        <f t="shared" si="50"/>
        <v>1050000</v>
      </c>
      <c r="D1020" s="168">
        <f t="shared" si="50"/>
        <v>1102500</v>
      </c>
    </row>
    <row r="1021" spans="1:4" ht="15.5">
      <c r="A1021" s="201" t="s">
        <v>46</v>
      </c>
      <c r="B1021" s="201">
        <v>1500000</v>
      </c>
      <c r="C1021" s="168">
        <f t="shared" si="50"/>
        <v>1575000</v>
      </c>
      <c r="D1021" s="168">
        <f t="shared" si="50"/>
        <v>1653750</v>
      </c>
    </row>
    <row r="1022" spans="1:4" ht="15.5">
      <c r="A1022" s="196" t="s">
        <v>718</v>
      </c>
      <c r="B1022" s="196">
        <f>SUM(B1023)</f>
        <v>400000</v>
      </c>
      <c r="C1022" s="166">
        <f t="shared" si="50"/>
        <v>420000</v>
      </c>
      <c r="D1022" s="166">
        <f t="shared" si="50"/>
        <v>441000</v>
      </c>
    </row>
    <row r="1023" spans="1:4" ht="15.5">
      <c r="A1023" s="195" t="s">
        <v>719</v>
      </c>
      <c r="B1023" s="195">
        <v>400000</v>
      </c>
      <c r="C1023" s="168">
        <f t="shared" si="50"/>
        <v>420000</v>
      </c>
      <c r="D1023" s="168">
        <f t="shared" si="50"/>
        <v>441000</v>
      </c>
    </row>
    <row r="1024" spans="1:4" ht="15.5">
      <c r="A1024" s="196" t="s">
        <v>47</v>
      </c>
      <c r="B1024" s="196">
        <v>0</v>
      </c>
      <c r="C1024" s="168">
        <f t="shared" si="50"/>
        <v>0</v>
      </c>
      <c r="D1024" s="168">
        <f t="shared" si="50"/>
        <v>0</v>
      </c>
    </row>
    <row r="1025" spans="1:4" ht="15.5">
      <c r="A1025" s="200" t="s">
        <v>93</v>
      </c>
      <c r="B1025" s="200">
        <v>0</v>
      </c>
      <c r="C1025" s="168">
        <f t="shared" si="50"/>
        <v>0</v>
      </c>
      <c r="D1025" s="168">
        <f t="shared" si="50"/>
        <v>0</v>
      </c>
    </row>
    <row r="1026" spans="1:4" ht="15.5">
      <c r="A1026" s="200" t="s">
        <v>94</v>
      </c>
      <c r="B1026" s="200">
        <v>0</v>
      </c>
      <c r="C1026" s="168">
        <f t="shared" si="50"/>
        <v>0</v>
      </c>
      <c r="D1026" s="168">
        <f t="shared" si="50"/>
        <v>0</v>
      </c>
    </row>
    <row r="1027" spans="1:4" ht="15.5">
      <c r="A1027" s="196" t="s">
        <v>49</v>
      </c>
      <c r="B1027" s="196">
        <f>SUM(B1028:B1029)</f>
        <v>2500000</v>
      </c>
      <c r="C1027" s="166">
        <f t="shared" si="50"/>
        <v>2625000</v>
      </c>
      <c r="D1027" s="166">
        <f t="shared" si="50"/>
        <v>2756250</v>
      </c>
    </row>
    <row r="1028" spans="1:4" ht="15.5">
      <c r="A1028" s="195" t="s">
        <v>675</v>
      </c>
      <c r="B1028" s="195">
        <v>1500000</v>
      </c>
      <c r="C1028" s="168">
        <f t="shared" si="50"/>
        <v>1575000</v>
      </c>
      <c r="D1028" s="168">
        <f t="shared" si="50"/>
        <v>1653750</v>
      </c>
    </row>
    <row r="1029" spans="1:4" ht="15.5">
      <c r="A1029" s="195" t="s">
        <v>134</v>
      </c>
      <c r="B1029" s="195">
        <v>1000000</v>
      </c>
      <c r="C1029" s="168">
        <f t="shared" si="50"/>
        <v>1050000</v>
      </c>
      <c r="D1029" s="168">
        <f t="shared" si="50"/>
        <v>1102500</v>
      </c>
    </row>
    <row r="1030" spans="1:4" ht="15.5">
      <c r="A1030" s="201" t="s">
        <v>135</v>
      </c>
      <c r="B1030" s="201">
        <v>0</v>
      </c>
      <c r="C1030" s="168">
        <f t="shared" si="50"/>
        <v>0</v>
      </c>
      <c r="D1030" s="168">
        <f t="shared" si="50"/>
        <v>0</v>
      </c>
    </row>
    <row r="1031" spans="1:4" ht="15.5">
      <c r="A1031" s="201" t="s">
        <v>54</v>
      </c>
      <c r="B1031" s="201">
        <v>0</v>
      </c>
      <c r="C1031" s="168">
        <f t="shared" si="50"/>
        <v>0</v>
      </c>
      <c r="D1031" s="168">
        <f t="shared" si="50"/>
        <v>0</v>
      </c>
    </row>
    <row r="1032" spans="1:4" ht="15.5">
      <c r="A1032" s="196" t="s">
        <v>677</v>
      </c>
      <c r="B1032" s="196">
        <f>SUM(B1033:B1042)</f>
        <v>14450000</v>
      </c>
      <c r="C1032" s="166">
        <f t="shared" si="50"/>
        <v>15172500</v>
      </c>
      <c r="D1032" s="166">
        <f t="shared" si="50"/>
        <v>15931125</v>
      </c>
    </row>
    <row r="1033" spans="1:4" ht="15.5">
      <c r="A1033" s="195" t="s">
        <v>678</v>
      </c>
      <c r="B1033" s="195">
        <v>6000000</v>
      </c>
      <c r="C1033" s="168">
        <f t="shared" si="50"/>
        <v>6300000</v>
      </c>
      <c r="D1033" s="168">
        <f t="shared" si="50"/>
        <v>6615000</v>
      </c>
    </row>
    <row r="1034" spans="1:4" ht="15.5">
      <c r="A1034" s="195" t="s">
        <v>679</v>
      </c>
      <c r="B1034" s="195">
        <v>2000000</v>
      </c>
      <c r="C1034" s="168">
        <f t="shared" si="50"/>
        <v>2100000</v>
      </c>
      <c r="D1034" s="168">
        <f t="shared" si="50"/>
        <v>2205000</v>
      </c>
    </row>
    <row r="1035" spans="1:4" ht="15.5">
      <c r="A1035" s="195" t="s">
        <v>137</v>
      </c>
      <c r="B1035" s="195">
        <v>1500000</v>
      </c>
      <c r="C1035" s="168">
        <f t="shared" ref="C1035:D1066" si="51">B1035*1.05</f>
        <v>1575000</v>
      </c>
      <c r="D1035" s="168">
        <f t="shared" si="51"/>
        <v>1653750</v>
      </c>
    </row>
    <row r="1036" spans="1:4" ht="15.5">
      <c r="A1036" s="195" t="s">
        <v>680</v>
      </c>
      <c r="B1036" s="195">
        <v>1000000</v>
      </c>
      <c r="C1036" s="168">
        <f t="shared" si="51"/>
        <v>1050000</v>
      </c>
      <c r="D1036" s="168">
        <f t="shared" si="51"/>
        <v>1102500</v>
      </c>
    </row>
    <row r="1037" spans="1:4" ht="15.5">
      <c r="A1037" s="195" t="s">
        <v>681</v>
      </c>
      <c r="B1037" s="195">
        <v>1800000</v>
      </c>
      <c r="C1037" s="168">
        <f t="shared" si="51"/>
        <v>1890000</v>
      </c>
      <c r="D1037" s="168">
        <f t="shared" si="51"/>
        <v>1984500</v>
      </c>
    </row>
    <row r="1038" spans="1:4" ht="15.5">
      <c r="A1038" s="195" t="s">
        <v>682</v>
      </c>
      <c r="B1038" s="195">
        <v>1700000</v>
      </c>
      <c r="C1038" s="168">
        <f t="shared" si="51"/>
        <v>1785000</v>
      </c>
      <c r="D1038" s="168">
        <f t="shared" si="51"/>
        <v>1874250</v>
      </c>
    </row>
    <row r="1039" spans="1:4" ht="15.5">
      <c r="A1039" s="200" t="s">
        <v>720</v>
      </c>
      <c r="B1039" s="200">
        <v>0</v>
      </c>
      <c r="C1039" s="168">
        <f t="shared" si="51"/>
        <v>0</v>
      </c>
      <c r="D1039" s="168">
        <f t="shared" si="51"/>
        <v>0</v>
      </c>
    </row>
    <row r="1040" spans="1:4" ht="15.5">
      <c r="A1040" s="195" t="s">
        <v>721</v>
      </c>
      <c r="B1040" s="195">
        <v>0</v>
      </c>
      <c r="C1040" s="168">
        <f t="shared" si="51"/>
        <v>0</v>
      </c>
      <c r="D1040" s="168">
        <f t="shared" si="51"/>
        <v>0</v>
      </c>
    </row>
    <row r="1041" spans="1:4" ht="15.5">
      <c r="A1041" s="195" t="s">
        <v>683</v>
      </c>
      <c r="B1041" s="195">
        <v>350000</v>
      </c>
      <c r="C1041" s="168">
        <f t="shared" si="51"/>
        <v>367500</v>
      </c>
      <c r="D1041" s="168">
        <f t="shared" si="51"/>
        <v>385875</v>
      </c>
    </row>
    <row r="1042" spans="1:4" ht="15.5">
      <c r="A1042" s="195" t="s">
        <v>722</v>
      </c>
      <c r="B1042" s="195">
        <v>100000</v>
      </c>
      <c r="C1042" s="168">
        <f t="shared" si="51"/>
        <v>105000</v>
      </c>
      <c r="D1042" s="168">
        <f t="shared" si="51"/>
        <v>110250</v>
      </c>
    </row>
    <row r="1043" spans="1:4" ht="15.5">
      <c r="A1043" s="196" t="s">
        <v>55</v>
      </c>
      <c r="B1043" s="196">
        <f>SUM(B1044:B1046)</f>
        <v>900000</v>
      </c>
      <c r="C1043" s="166">
        <f t="shared" si="51"/>
        <v>945000</v>
      </c>
      <c r="D1043" s="166">
        <f t="shared" si="51"/>
        <v>992250</v>
      </c>
    </row>
    <row r="1044" spans="1:4" ht="15.5">
      <c r="A1044" s="195" t="s">
        <v>685</v>
      </c>
      <c r="B1044" s="195">
        <v>200000</v>
      </c>
      <c r="C1044" s="168">
        <f t="shared" si="51"/>
        <v>210000</v>
      </c>
      <c r="D1044" s="168">
        <f t="shared" si="51"/>
        <v>220500</v>
      </c>
    </row>
    <row r="1045" spans="1:4" ht="15.5">
      <c r="A1045" s="195" t="s">
        <v>167</v>
      </c>
      <c r="B1045" s="195">
        <v>200000</v>
      </c>
      <c r="C1045" s="168">
        <f t="shared" si="51"/>
        <v>210000</v>
      </c>
      <c r="D1045" s="168">
        <f t="shared" si="51"/>
        <v>220500</v>
      </c>
    </row>
    <row r="1046" spans="1:4" ht="15.5">
      <c r="A1046" s="195" t="s">
        <v>57</v>
      </c>
      <c r="B1046" s="195">
        <v>500000</v>
      </c>
      <c r="C1046" s="168">
        <f t="shared" si="51"/>
        <v>525000</v>
      </c>
      <c r="D1046" s="168">
        <f t="shared" si="51"/>
        <v>551250</v>
      </c>
    </row>
    <row r="1047" spans="1:4" ht="15.5">
      <c r="A1047" s="196" t="s">
        <v>58</v>
      </c>
      <c r="B1047" s="196">
        <f>SUM(B1048:B1049)</f>
        <v>2700000</v>
      </c>
      <c r="C1047" s="166">
        <f t="shared" si="51"/>
        <v>2835000</v>
      </c>
      <c r="D1047" s="166">
        <f t="shared" si="51"/>
        <v>2976750</v>
      </c>
    </row>
    <row r="1048" spans="1:4" ht="15.5">
      <c r="A1048" s="195" t="s">
        <v>102</v>
      </c>
      <c r="B1048" s="195">
        <v>2200000</v>
      </c>
      <c r="C1048" s="168">
        <f t="shared" si="51"/>
        <v>2310000</v>
      </c>
      <c r="D1048" s="168">
        <f t="shared" si="51"/>
        <v>2425500</v>
      </c>
    </row>
    <row r="1049" spans="1:4" ht="15.5">
      <c r="A1049" s="195" t="s">
        <v>723</v>
      </c>
      <c r="B1049" s="195">
        <v>500000</v>
      </c>
      <c r="C1049" s="168">
        <f t="shared" si="51"/>
        <v>525000</v>
      </c>
      <c r="D1049" s="168">
        <f t="shared" si="51"/>
        <v>551250</v>
      </c>
    </row>
    <row r="1050" spans="1:4" ht="15.5">
      <c r="A1050" s="196" t="s">
        <v>60</v>
      </c>
      <c r="B1050" s="196">
        <f>SUM(B1051:B1055)</f>
        <v>500000</v>
      </c>
      <c r="C1050" s="166">
        <f t="shared" si="51"/>
        <v>525000</v>
      </c>
      <c r="D1050" s="166">
        <f t="shared" si="51"/>
        <v>551250</v>
      </c>
    </row>
    <row r="1051" spans="1:4" ht="15.5">
      <c r="A1051" s="195" t="s">
        <v>724</v>
      </c>
      <c r="B1051" s="195">
        <v>0</v>
      </c>
      <c r="C1051" s="168">
        <f t="shared" si="51"/>
        <v>0</v>
      </c>
      <c r="D1051" s="168">
        <f t="shared" si="51"/>
        <v>0</v>
      </c>
    </row>
    <row r="1052" spans="1:4" ht="15.5">
      <c r="A1052" s="195" t="s">
        <v>725</v>
      </c>
      <c r="B1052" s="195">
        <v>500000</v>
      </c>
      <c r="C1052" s="168">
        <f t="shared" si="51"/>
        <v>525000</v>
      </c>
      <c r="D1052" s="168">
        <f t="shared" si="51"/>
        <v>551250</v>
      </c>
    </row>
    <row r="1053" spans="1:4" ht="15.5">
      <c r="A1053" s="195" t="s">
        <v>103</v>
      </c>
      <c r="B1053" s="195">
        <v>0</v>
      </c>
      <c r="C1053" s="168">
        <f t="shared" si="51"/>
        <v>0</v>
      </c>
      <c r="D1053" s="168">
        <f t="shared" si="51"/>
        <v>0</v>
      </c>
    </row>
    <row r="1054" spans="1:4" ht="15.5">
      <c r="A1054" s="195" t="s">
        <v>61</v>
      </c>
      <c r="B1054" s="195">
        <v>0</v>
      </c>
      <c r="C1054" s="168">
        <f t="shared" si="51"/>
        <v>0</v>
      </c>
      <c r="D1054" s="168">
        <f t="shared" si="51"/>
        <v>0</v>
      </c>
    </row>
    <row r="1055" spans="1:4" ht="15.5">
      <c r="A1055" s="195" t="s">
        <v>726</v>
      </c>
      <c r="B1055" s="195">
        <v>0</v>
      </c>
      <c r="C1055" s="168">
        <f t="shared" si="51"/>
        <v>0</v>
      </c>
      <c r="D1055" s="168">
        <f t="shared" si="51"/>
        <v>0</v>
      </c>
    </row>
    <row r="1056" spans="1:4" ht="15.5">
      <c r="A1056" s="196" t="s">
        <v>64</v>
      </c>
      <c r="B1056" s="196">
        <f>B1057</f>
        <v>1000000</v>
      </c>
      <c r="C1056" s="166">
        <f t="shared" si="51"/>
        <v>1050000</v>
      </c>
      <c r="D1056" s="166">
        <f t="shared" si="51"/>
        <v>1102500</v>
      </c>
    </row>
    <row r="1057" spans="1:4" ht="15.5">
      <c r="A1057" s="195" t="s">
        <v>65</v>
      </c>
      <c r="B1057" s="195">
        <v>1000000</v>
      </c>
      <c r="C1057" s="168">
        <f t="shared" si="51"/>
        <v>1050000</v>
      </c>
      <c r="D1057" s="168">
        <f t="shared" si="51"/>
        <v>1102500</v>
      </c>
    </row>
    <row r="1058" spans="1:4" ht="15.5">
      <c r="A1058" s="196" t="s">
        <v>112</v>
      </c>
      <c r="B1058" s="196">
        <f>SUM(B1060:B1063)</f>
        <v>1200000</v>
      </c>
      <c r="C1058" s="166">
        <f t="shared" si="51"/>
        <v>1260000</v>
      </c>
      <c r="D1058" s="166">
        <f t="shared" si="51"/>
        <v>1323000</v>
      </c>
    </row>
    <row r="1059" spans="1:4" ht="15.5">
      <c r="A1059" s="195" t="s">
        <v>113</v>
      </c>
      <c r="B1059" s="195">
        <v>100000</v>
      </c>
      <c r="C1059" s="168">
        <f t="shared" si="51"/>
        <v>105000</v>
      </c>
      <c r="D1059" s="168">
        <f t="shared" si="51"/>
        <v>110250</v>
      </c>
    </row>
    <row r="1060" spans="1:4" ht="15.5">
      <c r="A1060" s="195" t="s">
        <v>66</v>
      </c>
      <c r="B1060" s="195">
        <v>700000</v>
      </c>
      <c r="C1060" s="168">
        <f t="shared" si="51"/>
        <v>735000</v>
      </c>
      <c r="D1060" s="168">
        <f t="shared" si="51"/>
        <v>771750</v>
      </c>
    </row>
    <row r="1061" spans="1:4" ht="15.5">
      <c r="A1061" s="195" t="s">
        <v>689</v>
      </c>
      <c r="B1061" s="195">
        <v>200000</v>
      </c>
      <c r="C1061" s="168">
        <f t="shared" si="51"/>
        <v>210000</v>
      </c>
      <c r="D1061" s="168">
        <f t="shared" si="51"/>
        <v>220500</v>
      </c>
    </row>
    <row r="1062" spans="1:4" ht="15.5">
      <c r="A1062" s="195" t="s">
        <v>142</v>
      </c>
      <c r="B1062" s="195">
        <v>100000</v>
      </c>
      <c r="C1062" s="168">
        <f t="shared" si="51"/>
        <v>105000</v>
      </c>
      <c r="D1062" s="168">
        <f t="shared" si="51"/>
        <v>110250</v>
      </c>
    </row>
    <row r="1063" spans="1:4" ht="15.5">
      <c r="A1063" s="195" t="s">
        <v>67</v>
      </c>
      <c r="B1063" s="195">
        <v>200000</v>
      </c>
      <c r="C1063" s="168">
        <f t="shared" si="51"/>
        <v>210000</v>
      </c>
      <c r="D1063" s="168">
        <f t="shared" si="51"/>
        <v>220500</v>
      </c>
    </row>
    <row r="1064" spans="1:4" ht="15.5">
      <c r="A1064" s="200" t="s">
        <v>672</v>
      </c>
      <c r="B1064" s="200">
        <v>0</v>
      </c>
      <c r="C1064" s="168">
        <f t="shared" si="51"/>
        <v>0</v>
      </c>
      <c r="D1064" s="168">
        <f t="shared" si="51"/>
        <v>0</v>
      </c>
    </row>
    <row r="1065" spans="1:4" ht="15.5">
      <c r="A1065" s="196" t="s">
        <v>727</v>
      </c>
      <c r="B1065" s="196">
        <f>B1066</f>
        <v>1000000</v>
      </c>
      <c r="C1065" s="166">
        <f t="shared" si="51"/>
        <v>1050000</v>
      </c>
      <c r="D1065" s="166">
        <f t="shared" si="51"/>
        <v>1102500</v>
      </c>
    </row>
    <row r="1066" spans="1:4" ht="15.5">
      <c r="A1066" s="195" t="s">
        <v>694</v>
      </c>
      <c r="B1066" s="195">
        <v>1000000</v>
      </c>
      <c r="C1066" s="168">
        <f t="shared" si="51"/>
        <v>1050000</v>
      </c>
      <c r="D1066" s="168">
        <f t="shared" si="51"/>
        <v>1102500</v>
      </c>
    </row>
    <row r="1067" spans="1:4" ht="15.5">
      <c r="A1067" s="196" t="s">
        <v>115</v>
      </c>
      <c r="B1067" s="196">
        <f>B1068</f>
        <v>250000</v>
      </c>
      <c r="C1067" s="166">
        <f t="shared" ref="C1067:D1076" si="52">B1067*1.05</f>
        <v>262500</v>
      </c>
      <c r="D1067" s="166">
        <f t="shared" si="52"/>
        <v>275625</v>
      </c>
    </row>
    <row r="1068" spans="1:4" ht="15.5">
      <c r="A1068" s="195" t="s">
        <v>69</v>
      </c>
      <c r="B1068" s="195">
        <v>250000</v>
      </c>
      <c r="C1068" s="168">
        <f t="shared" si="52"/>
        <v>262500</v>
      </c>
      <c r="D1068" s="168">
        <f t="shared" si="52"/>
        <v>275625</v>
      </c>
    </row>
    <row r="1069" spans="1:4" ht="15.5">
      <c r="A1069" s="195" t="s">
        <v>70</v>
      </c>
      <c r="B1069" s="195">
        <v>0</v>
      </c>
      <c r="C1069" s="168">
        <f t="shared" si="52"/>
        <v>0</v>
      </c>
      <c r="D1069" s="168">
        <f t="shared" si="52"/>
        <v>0</v>
      </c>
    </row>
    <row r="1070" spans="1:4" ht="15.5">
      <c r="A1070" s="195" t="s">
        <v>728</v>
      </c>
      <c r="B1070" s="195">
        <v>0</v>
      </c>
      <c r="C1070" s="168">
        <f t="shared" si="52"/>
        <v>0</v>
      </c>
      <c r="D1070" s="168">
        <f t="shared" si="52"/>
        <v>0</v>
      </c>
    </row>
    <row r="1071" spans="1:4" ht="15.5">
      <c r="A1071" s="195" t="s">
        <v>729</v>
      </c>
      <c r="B1071" s="195">
        <v>0</v>
      </c>
      <c r="C1071" s="168">
        <f t="shared" si="52"/>
        <v>0</v>
      </c>
      <c r="D1071" s="168">
        <f t="shared" si="52"/>
        <v>0</v>
      </c>
    </row>
    <row r="1072" spans="1:4" ht="15.5">
      <c r="A1072" s="196" t="s">
        <v>730</v>
      </c>
      <c r="B1072" s="196">
        <v>0</v>
      </c>
      <c r="C1072" s="166">
        <f t="shared" si="52"/>
        <v>0</v>
      </c>
      <c r="D1072" s="166">
        <f t="shared" si="52"/>
        <v>0</v>
      </c>
    </row>
    <row r="1073" spans="1:4" ht="15.5">
      <c r="A1073" s="195" t="s">
        <v>731</v>
      </c>
      <c r="B1073" s="195">
        <v>0</v>
      </c>
      <c r="C1073" s="168">
        <f t="shared" si="52"/>
        <v>0</v>
      </c>
      <c r="D1073" s="168">
        <f t="shared" si="52"/>
        <v>0</v>
      </c>
    </row>
    <row r="1074" spans="1:4" ht="15.5">
      <c r="A1074" s="195" t="s">
        <v>732</v>
      </c>
      <c r="B1074" s="195">
        <v>0</v>
      </c>
      <c r="C1074" s="168">
        <f t="shared" si="52"/>
        <v>0</v>
      </c>
      <c r="D1074" s="168">
        <f t="shared" si="52"/>
        <v>0</v>
      </c>
    </row>
    <row r="1075" spans="1:4" ht="15.5">
      <c r="A1075" s="202" t="s">
        <v>733</v>
      </c>
      <c r="B1075" s="202"/>
      <c r="C1075" s="168">
        <f t="shared" si="52"/>
        <v>0</v>
      </c>
      <c r="D1075" s="168">
        <f t="shared" si="52"/>
        <v>0</v>
      </c>
    </row>
    <row r="1076" spans="1:4" ht="15.5">
      <c r="A1076" s="175" t="s">
        <v>646</v>
      </c>
      <c r="B1076" s="175">
        <f>B1067+B1065+B1058+B1056+B1050+B1047+B1043+B1032+B1027+B1022+B1017+B1009+B1005+B1002</f>
        <v>34747000</v>
      </c>
      <c r="C1076" s="166">
        <f t="shared" si="52"/>
        <v>36484350</v>
      </c>
      <c r="D1076" s="166">
        <f t="shared" si="52"/>
        <v>38308567.5</v>
      </c>
    </row>
    <row r="1077" spans="1:4" ht="15.5">
      <c r="A1077" s="165" t="s">
        <v>672</v>
      </c>
      <c r="B1077" s="165"/>
      <c r="C1077" s="168">
        <f>SUM(B1077:B1077)</f>
        <v>0</v>
      </c>
      <c r="D1077" s="197"/>
    </row>
    <row r="1078" spans="1:4" ht="15.5">
      <c r="A1078" s="165" t="s">
        <v>672</v>
      </c>
      <c r="B1078" s="165"/>
      <c r="C1078" s="168">
        <f>SUM(B1078:B1078)</f>
        <v>0</v>
      </c>
      <c r="D1078" s="197"/>
    </row>
    <row r="1079" spans="1:4" ht="15.5">
      <c r="A1079" s="165" t="s">
        <v>672</v>
      </c>
      <c r="B1079" s="165"/>
      <c r="C1079" s="168">
        <f>SUM(B1079:B1079)</f>
        <v>0</v>
      </c>
      <c r="D1079" s="197"/>
    </row>
    <row r="1080" spans="1:4" ht="15.5">
      <c r="A1080" s="165" t="s">
        <v>672</v>
      </c>
      <c r="B1080" s="165"/>
      <c r="C1080" s="168">
        <f>SUM(B1080:B1080)</f>
        <v>0</v>
      </c>
      <c r="D1080" s="197"/>
    </row>
    <row r="1081" spans="1:4" ht="31">
      <c r="A1081" s="175" t="s">
        <v>647</v>
      </c>
      <c r="B1081" s="175" t="s">
        <v>424</v>
      </c>
      <c r="C1081" s="176" t="s">
        <v>12</v>
      </c>
      <c r="D1081" s="176" t="s">
        <v>426</v>
      </c>
    </row>
    <row r="1082" spans="1:4" ht="15.5">
      <c r="A1082" s="175" t="s">
        <v>620</v>
      </c>
      <c r="B1082" s="175"/>
      <c r="C1082" s="168">
        <f t="shared" ref="C1082:C1091" si="53">SUM(B1082:B1082)</f>
        <v>0</v>
      </c>
      <c r="D1082" s="176"/>
    </row>
    <row r="1083" spans="1:4" ht="15.5">
      <c r="A1083" s="171" t="s">
        <v>666</v>
      </c>
      <c r="B1083" s="171">
        <v>0</v>
      </c>
      <c r="C1083" s="168">
        <f t="shared" si="53"/>
        <v>0</v>
      </c>
      <c r="D1083" s="194"/>
    </row>
    <row r="1084" spans="1:4" ht="15.5">
      <c r="A1084" s="171" t="s">
        <v>81</v>
      </c>
      <c r="B1084" s="171">
        <v>0</v>
      </c>
      <c r="C1084" s="168">
        <f t="shared" si="53"/>
        <v>0</v>
      </c>
      <c r="D1084" s="194"/>
    </row>
    <row r="1085" spans="1:4" ht="15.5">
      <c r="A1085" s="165" t="s">
        <v>668</v>
      </c>
      <c r="B1085" s="165">
        <v>0</v>
      </c>
      <c r="C1085" s="168">
        <f t="shared" si="53"/>
        <v>0</v>
      </c>
      <c r="D1085" s="194"/>
    </row>
    <row r="1086" spans="1:4" ht="15.5">
      <c r="A1086" s="171" t="s">
        <v>712</v>
      </c>
      <c r="B1086" s="171">
        <v>0</v>
      </c>
      <c r="C1086" s="168">
        <f t="shared" si="53"/>
        <v>0</v>
      </c>
      <c r="D1086" s="194"/>
    </row>
    <row r="1087" spans="1:4" ht="31">
      <c r="A1087" s="171" t="s">
        <v>713</v>
      </c>
      <c r="B1087" s="171">
        <v>0</v>
      </c>
      <c r="C1087" s="168">
        <f t="shared" si="53"/>
        <v>0</v>
      </c>
      <c r="D1087" s="194"/>
    </row>
    <row r="1088" spans="1:4" ht="15.5">
      <c r="A1088" s="171" t="s">
        <v>714</v>
      </c>
      <c r="B1088" s="171">
        <v>0</v>
      </c>
      <c r="C1088" s="168">
        <f t="shared" si="53"/>
        <v>0</v>
      </c>
      <c r="D1088" s="194"/>
    </row>
    <row r="1089" spans="1:4" ht="15.5">
      <c r="A1089" s="171" t="s">
        <v>715</v>
      </c>
      <c r="B1089" s="171">
        <v>0</v>
      </c>
      <c r="C1089" s="168">
        <f t="shared" si="53"/>
        <v>0</v>
      </c>
      <c r="D1089" s="194"/>
    </row>
    <row r="1090" spans="1:4" ht="31">
      <c r="A1090" s="171" t="s">
        <v>716</v>
      </c>
      <c r="B1090" s="171">
        <v>0</v>
      </c>
      <c r="C1090" s="168">
        <f t="shared" si="53"/>
        <v>0</v>
      </c>
      <c r="D1090" s="194"/>
    </row>
    <row r="1091" spans="1:4" ht="15.5">
      <c r="A1091" s="165" t="s">
        <v>717</v>
      </c>
      <c r="B1091" s="165">
        <v>0</v>
      </c>
      <c r="C1091" s="168">
        <f t="shared" si="53"/>
        <v>0</v>
      </c>
      <c r="D1091" s="194"/>
    </row>
    <row r="1092" spans="1:4" ht="15.5">
      <c r="A1092" s="216" t="s">
        <v>29</v>
      </c>
      <c r="B1092" s="216">
        <f>SUM(B1093:B1094)</f>
        <v>770000</v>
      </c>
      <c r="C1092" s="168">
        <f>B1092*1.05</f>
        <v>808500</v>
      </c>
      <c r="D1092" s="168">
        <f>C1092*1.05</f>
        <v>848925</v>
      </c>
    </row>
    <row r="1093" spans="1:4" ht="15.5">
      <c r="A1093" s="217" t="s">
        <v>82</v>
      </c>
      <c r="B1093" s="217">
        <v>470000</v>
      </c>
      <c r="C1093" s="168">
        <f t="shared" ref="C1093:D1124" si="54">B1093*1.05</f>
        <v>493500</v>
      </c>
      <c r="D1093" s="168">
        <f t="shared" si="54"/>
        <v>518175</v>
      </c>
    </row>
    <row r="1094" spans="1:4" ht="15.5">
      <c r="A1094" s="217" t="s">
        <v>83</v>
      </c>
      <c r="B1094" s="217">
        <v>300000</v>
      </c>
      <c r="C1094" s="168">
        <f t="shared" si="54"/>
        <v>315000</v>
      </c>
      <c r="D1094" s="168">
        <f t="shared" si="54"/>
        <v>330750</v>
      </c>
    </row>
    <row r="1095" spans="1:4" ht="15.5">
      <c r="A1095" s="216" t="s">
        <v>126</v>
      </c>
      <c r="B1095" s="216">
        <f>SUM(B1096:B1098)</f>
        <v>350000</v>
      </c>
      <c r="C1095" s="168">
        <f t="shared" si="54"/>
        <v>367500</v>
      </c>
      <c r="D1095" s="168">
        <f t="shared" si="54"/>
        <v>385875</v>
      </c>
    </row>
    <row r="1096" spans="1:4" ht="15.5">
      <c r="A1096" s="217" t="s">
        <v>84</v>
      </c>
      <c r="B1096" s="217">
        <v>200000</v>
      </c>
      <c r="C1096" s="168">
        <f t="shared" si="54"/>
        <v>210000</v>
      </c>
      <c r="D1096" s="168">
        <f t="shared" si="54"/>
        <v>220500</v>
      </c>
    </row>
    <row r="1097" spans="1:4" ht="15.5">
      <c r="A1097" s="217" t="s">
        <v>85</v>
      </c>
      <c r="B1097" s="217">
        <v>50000</v>
      </c>
      <c r="C1097" s="168">
        <f t="shared" si="54"/>
        <v>52500</v>
      </c>
      <c r="D1097" s="168">
        <f t="shared" si="54"/>
        <v>55125</v>
      </c>
    </row>
    <row r="1098" spans="1:4" ht="15.5">
      <c r="A1098" s="217" t="s">
        <v>35</v>
      </c>
      <c r="B1098" s="217">
        <v>100000</v>
      </c>
      <c r="C1098" s="168">
        <f t="shared" si="54"/>
        <v>105000</v>
      </c>
      <c r="D1098" s="168">
        <f t="shared" si="54"/>
        <v>110250</v>
      </c>
    </row>
    <row r="1099" spans="1:4" ht="15.5">
      <c r="A1099" s="216" t="s">
        <v>36</v>
      </c>
      <c r="B1099" s="216">
        <f>SUM(B1100:B1102)</f>
        <v>740000</v>
      </c>
      <c r="C1099" s="168">
        <f t="shared" si="54"/>
        <v>777000</v>
      </c>
      <c r="D1099" s="168">
        <f t="shared" si="54"/>
        <v>815850</v>
      </c>
    </row>
    <row r="1100" spans="1:4" ht="15.5">
      <c r="A1100" s="217" t="s">
        <v>86</v>
      </c>
      <c r="B1100" s="217">
        <v>250000</v>
      </c>
      <c r="C1100" s="168">
        <f t="shared" si="54"/>
        <v>262500</v>
      </c>
      <c r="D1100" s="168">
        <f t="shared" si="54"/>
        <v>275625</v>
      </c>
    </row>
    <row r="1101" spans="1:4" ht="15.5">
      <c r="A1101" s="217" t="s">
        <v>87</v>
      </c>
      <c r="B1101" s="217">
        <v>200000</v>
      </c>
      <c r="C1101" s="168">
        <f t="shared" si="54"/>
        <v>210000</v>
      </c>
      <c r="D1101" s="168">
        <f t="shared" si="54"/>
        <v>220500</v>
      </c>
    </row>
    <row r="1102" spans="1:4" ht="15.5">
      <c r="A1102" s="217" t="s">
        <v>88</v>
      </c>
      <c r="B1102" s="217">
        <v>290000</v>
      </c>
      <c r="C1102" s="168">
        <f t="shared" si="54"/>
        <v>304500</v>
      </c>
      <c r="D1102" s="168">
        <f t="shared" si="54"/>
        <v>319725</v>
      </c>
    </row>
    <row r="1103" spans="1:4" ht="15.5">
      <c r="A1103" s="216" t="s">
        <v>89</v>
      </c>
      <c r="B1103" s="216">
        <f>SUM(B1104:B1106)</f>
        <v>0</v>
      </c>
      <c r="C1103" s="166">
        <f t="shared" si="54"/>
        <v>0</v>
      </c>
      <c r="D1103" s="166">
        <f t="shared" si="54"/>
        <v>0</v>
      </c>
    </row>
    <row r="1104" spans="1:4" ht="15.5">
      <c r="A1104" s="217" t="s">
        <v>90</v>
      </c>
      <c r="B1104" s="217">
        <v>0</v>
      </c>
      <c r="C1104" s="168">
        <f t="shared" si="54"/>
        <v>0</v>
      </c>
      <c r="D1104" s="168">
        <f t="shared" si="54"/>
        <v>0</v>
      </c>
    </row>
    <row r="1105" spans="1:4" ht="15.5">
      <c r="A1105" s="217" t="s">
        <v>673</v>
      </c>
      <c r="B1105" s="217">
        <v>0</v>
      </c>
      <c r="C1105" s="168">
        <f t="shared" si="54"/>
        <v>0</v>
      </c>
      <c r="D1105" s="168">
        <f t="shared" si="54"/>
        <v>0</v>
      </c>
    </row>
    <row r="1106" spans="1:4" ht="15.5">
      <c r="A1106" s="217" t="s">
        <v>41</v>
      </c>
      <c r="B1106" s="217">
        <v>0</v>
      </c>
      <c r="C1106" s="168">
        <f t="shared" si="54"/>
        <v>0</v>
      </c>
      <c r="D1106" s="168">
        <f t="shared" si="54"/>
        <v>0</v>
      </c>
    </row>
    <row r="1107" spans="1:4" ht="15.5">
      <c r="A1107" s="216" t="s">
        <v>91</v>
      </c>
      <c r="B1107" s="216">
        <f>SUM(B1108:B1111)</f>
        <v>380000</v>
      </c>
      <c r="C1107" s="168">
        <f t="shared" si="54"/>
        <v>399000</v>
      </c>
      <c r="D1107" s="168">
        <f t="shared" si="54"/>
        <v>418950</v>
      </c>
    </row>
    <row r="1108" spans="1:4" ht="15.5">
      <c r="A1108" s="217" t="s">
        <v>44</v>
      </c>
      <c r="B1108" s="217">
        <v>100000</v>
      </c>
      <c r="C1108" s="168">
        <f t="shared" si="54"/>
        <v>105000</v>
      </c>
      <c r="D1108" s="168">
        <f t="shared" si="54"/>
        <v>110250</v>
      </c>
    </row>
    <row r="1109" spans="1:4" ht="15.5">
      <c r="A1109" s="217" t="s">
        <v>165</v>
      </c>
      <c r="B1109" s="217">
        <v>30000</v>
      </c>
      <c r="C1109" s="168">
        <f t="shared" si="54"/>
        <v>31500</v>
      </c>
      <c r="D1109" s="168">
        <f t="shared" si="54"/>
        <v>33075</v>
      </c>
    </row>
    <row r="1110" spans="1:4" ht="15.5">
      <c r="A1110" s="217" t="s">
        <v>45</v>
      </c>
      <c r="B1110" s="217">
        <v>50000</v>
      </c>
      <c r="C1110" s="168">
        <f t="shared" si="54"/>
        <v>52500</v>
      </c>
      <c r="D1110" s="168">
        <f t="shared" si="54"/>
        <v>55125</v>
      </c>
    </row>
    <row r="1111" spans="1:4" ht="15.5">
      <c r="A1111" s="217" t="s">
        <v>46</v>
      </c>
      <c r="B1111" s="217">
        <v>200000</v>
      </c>
      <c r="C1111" s="168">
        <f t="shared" si="54"/>
        <v>210000</v>
      </c>
      <c r="D1111" s="168">
        <f t="shared" si="54"/>
        <v>220500</v>
      </c>
    </row>
    <row r="1112" spans="1:4" ht="15.5">
      <c r="A1112" s="216" t="s">
        <v>718</v>
      </c>
      <c r="B1112" s="216">
        <f>B1113</f>
        <v>30000</v>
      </c>
      <c r="C1112" s="166">
        <f t="shared" si="54"/>
        <v>31500</v>
      </c>
      <c r="D1112" s="166">
        <f t="shared" si="54"/>
        <v>33075</v>
      </c>
    </row>
    <row r="1113" spans="1:4" ht="15.5">
      <c r="A1113" s="217" t="s">
        <v>719</v>
      </c>
      <c r="B1113" s="217">
        <v>30000</v>
      </c>
      <c r="C1113" s="168">
        <f t="shared" si="54"/>
        <v>31500</v>
      </c>
      <c r="D1113" s="168">
        <f t="shared" si="54"/>
        <v>33075</v>
      </c>
    </row>
    <row r="1114" spans="1:4" ht="15.5">
      <c r="A1114" s="216" t="s">
        <v>47</v>
      </c>
      <c r="B1114" s="216">
        <f>SUM(B1115:B1116)</f>
        <v>1050000</v>
      </c>
      <c r="C1114" s="166">
        <f t="shared" si="54"/>
        <v>1102500</v>
      </c>
      <c r="D1114" s="166">
        <f t="shared" si="54"/>
        <v>1157625</v>
      </c>
    </row>
    <row r="1115" spans="1:4" ht="15.5">
      <c r="A1115" s="217" t="s">
        <v>93</v>
      </c>
      <c r="B1115" s="217">
        <v>1000000</v>
      </c>
      <c r="C1115" s="168">
        <f t="shared" si="54"/>
        <v>1050000</v>
      </c>
      <c r="D1115" s="168">
        <f t="shared" si="54"/>
        <v>1102500</v>
      </c>
    </row>
    <row r="1116" spans="1:4" ht="15.5">
      <c r="A1116" s="217" t="s">
        <v>94</v>
      </c>
      <c r="B1116" s="217">
        <v>50000</v>
      </c>
      <c r="C1116" s="168">
        <f t="shared" si="54"/>
        <v>52500</v>
      </c>
      <c r="D1116" s="168">
        <f t="shared" si="54"/>
        <v>55125</v>
      </c>
    </row>
    <row r="1117" spans="1:4" ht="15.5">
      <c r="A1117" s="216" t="s">
        <v>49</v>
      </c>
      <c r="B1117" s="216">
        <f>SUM(B1118:B1119)</f>
        <v>1700000</v>
      </c>
      <c r="C1117" s="166">
        <f t="shared" si="54"/>
        <v>1785000</v>
      </c>
      <c r="D1117" s="166">
        <f t="shared" si="54"/>
        <v>1874250</v>
      </c>
    </row>
    <row r="1118" spans="1:4" ht="15.5">
      <c r="A1118" s="217" t="s">
        <v>675</v>
      </c>
      <c r="B1118" s="217">
        <v>800000</v>
      </c>
      <c r="C1118" s="168">
        <f t="shared" si="54"/>
        <v>840000</v>
      </c>
      <c r="D1118" s="168">
        <f t="shared" si="54"/>
        <v>882000</v>
      </c>
    </row>
    <row r="1119" spans="1:4" ht="15.5">
      <c r="A1119" s="217" t="s">
        <v>134</v>
      </c>
      <c r="B1119" s="217">
        <v>900000</v>
      </c>
      <c r="C1119" s="168">
        <f t="shared" si="54"/>
        <v>945000</v>
      </c>
      <c r="D1119" s="168">
        <f t="shared" si="54"/>
        <v>992250</v>
      </c>
    </row>
    <row r="1120" spans="1:4" ht="15.5">
      <c r="A1120" s="216" t="s">
        <v>135</v>
      </c>
      <c r="B1120" s="216">
        <f>SUM(B1121)</f>
        <v>100000</v>
      </c>
      <c r="C1120" s="166">
        <f t="shared" si="54"/>
        <v>105000</v>
      </c>
      <c r="D1120" s="166">
        <f t="shared" si="54"/>
        <v>110250</v>
      </c>
    </row>
    <row r="1121" spans="1:4" ht="15.5">
      <c r="A1121" s="217" t="s">
        <v>54</v>
      </c>
      <c r="B1121" s="217">
        <v>100000</v>
      </c>
      <c r="C1121" s="168">
        <f t="shared" si="54"/>
        <v>105000</v>
      </c>
      <c r="D1121" s="168">
        <f t="shared" si="54"/>
        <v>110250</v>
      </c>
    </row>
    <row r="1122" spans="1:4" ht="15.5">
      <c r="A1122" s="216" t="s">
        <v>677</v>
      </c>
      <c r="B1122" s="216">
        <f>SUM(B1123:B1132)</f>
        <v>2890000</v>
      </c>
      <c r="C1122" s="166">
        <f t="shared" si="54"/>
        <v>3034500</v>
      </c>
      <c r="D1122" s="166">
        <f t="shared" si="54"/>
        <v>3186225</v>
      </c>
    </row>
    <row r="1123" spans="1:4" ht="15.5">
      <c r="A1123" s="217" t="s">
        <v>678</v>
      </c>
      <c r="B1123" s="217">
        <v>1500000</v>
      </c>
      <c r="C1123" s="168">
        <f t="shared" si="54"/>
        <v>1575000</v>
      </c>
      <c r="D1123" s="168">
        <f t="shared" si="54"/>
        <v>1653750</v>
      </c>
    </row>
    <row r="1124" spans="1:4" ht="15.5">
      <c r="A1124" s="217" t="s">
        <v>679</v>
      </c>
      <c r="B1124" s="217">
        <v>400000</v>
      </c>
      <c r="C1124" s="168">
        <f t="shared" si="54"/>
        <v>420000</v>
      </c>
      <c r="D1124" s="168">
        <f t="shared" si="54"/>
        <v>441000</v>
      </c>
    </row>
    <row r="1125" spans="1:4" ht="15.5">
      <c r="A1125" s="217" t="s">
        <v>137</v>
      </c>
      <c r="B1125" s="217">
        <v>150000</v>
      </c>
      <c r="C1125" s="168">
        <f t="shared" ref="C1125:D1156" si="55">B1125*1.05</f>
        <v>157500</v>
      </c>
      <c r="D1125" s="168">
        <f t="shared" si="55"/>
        <v>165375</v>
      </c>
    </row>
    <row r="1126" spans="1:4" ht="15.5">
      <c r="A1126" s="217" t="s">
        <v>680</v>
      </c>
      <c r="B1126" s="217">
        <v>200000</v>
      </c>
      <c r="C1126" s="168">
        <f t="shared" si="55"/>
        <v>210000</v>
      </c>
      <c r="D1126" s="168">
        <f t="shared" si="55"/>
        <v>220500</v>
      </c>
    </row>
    <row r="1127" spans="1:4" ht="15.5">
      <c r="A1127" s="217" t="s">
        <v>681</v>
      </c>
      <c r="B1127" s="217">
        <v>40000</v>
      </c>
      <c r="C1127" s="168">
        <f t="shared" si="55"/>
        <v>42000</v>
      </c>
      <c r="D1127" s="168">
        <f t="shared" si="55"/>
        <v>44100</v>
      </c>
    </row>
    <row r="1128" spans="1:4" ht="15.5">
      <c r="A1128" s="217" t="s">
        <v>682</v>
      </c>
      <c r="B1128" s="217">
        <v>250000</v>
      </c>
      <c r="C1128" s="168">
        <f t="shared" si="55"/>
        <v>262500</v>
      </c>
      <c r="D1128" s="168">
        <f t="shared" si="55"/>
        <v>275625</v>
      </c>
    </row>
    <row r="1129" spans="1:4" ht="15.5">
      <c r="A1129" s="217" t="s">
        <v>720</v>
      </c>
      <c r="B1129" s="217">
        <v>250000</v>
      </c>
      <c r="C1129" s="168">
        <f t="shared" si="55"/>
        <v>262500</v>
      </c>
      <c r="D1129" s="168">
        <f t="shared" si="55"/>
        <v>275625</v>
      </c>
    </row>
    <row r="1130" spans="1:4" ht="15.5">
      <c r="A1130" s="217" t="s">
        <v>721</v>
      </c>
      <c r="B1130" s="217">
        <v>50000</v>
      </c>
      <c r="C1130" s="168">
        <f t="shared" si="55"/>
        <v>52500</v>
      </c>
      <c r="D1130" s="168">
        <f t="shared" si="55"/>
        <v>55125</v>
      </c>
    </row>
    <row r="1131" spans="1:4" ht="15.5">
      <c r="A1131" s="217" t="s">
        <v>683</v>
      </c>
      <c r="B1131" s="217">
        <v>50000</v>
      </c>
      <c r="C1131" s="168">
        <f t="shared" si="55"/>
        <v>52500</v>
      </c>
      <c r="D1131" s="168">
        <f t="shared" si="55"/>
        <v>55125</v>
      </c>
    </row>
    <row r="1132" spans="1:4" ht="15.5">
      <c r="A1132" s="217" t="s">
        <v>722</v>
      </c>
      <c r="B1132" s="217">
        <v>0</v>
      </c>
      <c r="C1132" s="168">
        <f t="shared" si="55"/>
        <v>0</v>
      </c>
      <c r="D1132" s="168">
        <f t="shared" si="55"/>
        <v>0</v>
      </c>
    </row>
    <row r="1133" spans="1:4" ht="15.5">
      <c r="A1133" s="216" t="s">
        <v>55</v>
      </c>
      <c r="B1133" s="216">
        <f>SUM(B1134:B1136)</f>
        <v>440000</v>
      </c>
      <c r="C1133" s="166">
        <f t="shared" si="55"/>
        <v>462000</v>
      </c>
      <c r="D1133" s="166">
        <f t="shared" si="55"/>
        <v>485100</v>
      </c>
    </row>
    <row r="1134" spans="1:4" ht="15.5">
      <c r="A1134" s="217" t="s">
        <v>685</v>
      </c>
      <c r="B1134" s="217">
        <v>150000</v>
      </c>
      <c r="C1134" s="168">
        <f t="shared" si="55"/>
        <v>157500</v>
      </c>
      <c r="D1134" s="168">
        <f t="shared" si="55"/>
        <v>165375</v>
      </c>
    </row>
    <row r="1135" spans="1:4" ht="15.5">
      <c r="A1135" s="217" t="s">
        <v>167</v>
      </c>
      <c r="B1135" s="217">
        <v>140000</v>
      </c>
      <c r="C1135" s="168">
        <f t="shared" si="55"/>
        <v>147000</v>
      </c>
      <c r="D1135" s="168">
        <f t="shared" si="55"/>
        <v>154350</v>
      </c>
    </row>
    <row r="1136" spans="1:4" ht="15.5">
      <c r="A1136" s="217" t="s">
        <v>57</v>
      </c>
      <c r="B1136" s="217">
        <v>150000</v>
      </c>
      <c r="C1136" s="168">
        <f t="shared" si="55"/>
        <v>157500</v>
      </c>
      <c r="D1136" s="168">
        <f t="shared" si="55"/>
        <v>165375</v>
      </c>
    </row>
    <row r="1137" spans="1:4" ht="15.5">
      <c r="A1137" s="216" t="s">
        <v>58</v>
      </c>
      <c r="B1137" s="216">
        <f>SUM(B1138:B1139)</f>
        <v>350000</v>
      </c>
      <c r="C1137" s="166">
        <f t="shared" si="55"/>
        <v>367500</v>
      </c>
      <c r="D1137" s="166">
        <f t="shared" si="55"/>
        <v>385875</v>
      </c>
    </row>
    <row r="1138" spans="1:4" ht="15.5">
      <c r="A1138" s="217" t="s">
        <v>102</v>
      </c>
      <c r="B1138" s="217">
        <v>250000</v>
      </c>
      <c r="C1138" s="168">
        <f t="shared" si="55"/>
        <v>262500</v>
      </c>
      <c r="D1138" s="168">
        <f t="shared" si="55"/>
        <v>275625</v>
      </c>
    </row>
    <row r="1139" spans="1:4" ht="15.5">
      <c r="A1139" s="217" t="s">
        <v>723</v>
      </c>
      <c r="B1139" s="217">
        <v>100000</v>
      </c>
      <c r="C1139" s="168">
        <f t="shared" si="55"/>
        <v>105000</v>
      </c>
      <c r="D1139" s="168">
        <f t="shared" si="55"/>
        <v>110250</v>
      </c>
    </row>
    <row r="1140" spans="1:4" ht="15.5">
      <c r="A1140" s="216" t="s">
        <v>60</v>
      </c>
      <c r="B1140" s="216">
        <f>SUM(B1141:B1145)</f>
        <v>340000</v>
      </c>
      <c r="C1140" s="166">
        <f t="shared" si="55"/>
        <v>357000</v>
      </c>
      <c r="D1140" s="166">
        <f t="shared" si="55"/>
        <v>374850</v>
      </c>
    </row>
    <row r="1141" spans="1:4" ht="15.5">
      <c r="A1141" s="217" t="s">
        <v>724</v>
      </c>
      <c r="B1141" s="217">
        <f>SUM(B1142)</f>
        <v>70000</v>
      </c>
      <c r="C1141" s="168">
        <f t="shared" si="55"/>
        <v>73500</v>
      </c>
      <c r="D1141" s="168">
        <f t="shared" si="55"/>
        <v>77175</v>
      </c>
    </row>
    <row r="1142" spans="1:4" ht="15.5">
      <c r="A1142" s="217" t="s">
        <v>725</v>
      </c>
      <c r="B1142" s="217">
        <v>70000</v>
      </c>
      <c r="C1142" s="168">
        <f t="shared" si="55"/>
        <v>73500</v>
      </c>
      <c r="D1142" s="168">
        <f t="shared" si="55"/>
        <v>77175</v>
      </c>
    </row>
    <row r="1143" spans="1:4" ht="15.5">
      <c r="A1143" s="217" t="s">
        <v>103</v>
      </c>
      <c r="B1143" s="217">
        <v>200000</v>
      </c>
      <c r="C1143" s="168">
        <f t="shared" si="55"/>
        <v>210000</v>
      </c>
      <c r="D1143" s="168">
        <f t="shared" si="55"/>
        <v>220500</v>
      </c>
    </row>
    <row r="1144" spans="1:4" ht="15.5">
      <c r="A1144" s="217" t="s">
        <v>61</v>
      </c>
      <c r="B1144" s="217">
        <v>0</v>
      </c>
      <c r="C1144" s="168">
        <f t="shared" si="55"/>
        <v>0</v>
      </c>
      <c r="D1144" s="168">
        <f t="shared" si="55"/>
        <v>0</v>
      </c>
    </row>
    <row r="1145" spans="1:4" ht="15.5">
      <c r="A1145" s="217" t="s">
        <v>726</v>
      </c>
      <c r="B1145" s="217">
        <v>0</v>
      </c>
      <c r="C1145" s="168">
        <f t="shared" si="55"/>
        <v>0</v>
      </c>
      <c r="D1145" s="168">
        <f t="shared" si="55"/>
        <v>0</v>
      </c>
    </row>
    <row r="1146" spans="1:4" ht="15.5">
      <c r="A1146" s="216" t="s">
        <v>64</v>
      </c>
      <c r="B1146" s="216">
        <f>B1147</f>
        <v>150000</v>
      </c>
      <c r="C1146" s="166">
        <f t="shared" si="55"/>
        <v>157500</v>
      </c>
      <c r="D1146" s="166">
        <f t="shared" si="55"/>
        <v>165375</v>
      </c>
    </row>
    <row r="1147" spans="1:4" ht="15.5">
      <c r="A1147" s="217" t="s">
        <v>65</v>
      </c>
      <c r="B1147" s="217">
        <v>150000</v>
      </c>
      <c r="C1147" s="168">
        <f t="shared" si="55"/>
        <v>157500</v>
      </c>
      <c r="D1147" s="168">
        <f t="shared" si="55"/>
        <v>165375</v>
      </c>
    </row>
    <row r="1148" spans="1:4" ht="15.5">
      <c r="A1148" s="216" t="s">
        <v>112</v>
      </c>
      <c r="B1148" s="216">
        <f>SUM(B1149:B1153)</f>
        <v>350000</v>
      </c>
      <c r="C1148" s="166">
        <f t="shared" si="55"/>
        <v>367500</v>
      </c>
      <c r="D1148" s="166">
        <f t="shared" si="55"/>
        <v>385875</v>
      </c>
    </row>
    <row r="1149" spans="1:4" ht="15.5">
      <c r="A1149" s="217" t="s">
        <v>113</v>
      </c>
      <c r="B1149" s="217">
        <v>150000</v>
      </c>
      <c r="C1149" s="168">
        <f t="shared" si="55"/>
        <v>157500</v>
      </c>
      <c r="D1149" s="168">
        <f t="shared" si="55"/>
        <v>165375</v>
      </c>
    </row>
    <row r="1150" spans="1:4" ht="15.5">
      <c r="A1150" s="217" t="s">
        <v>66</v>
      </c>
      <c r="B1150" s="217">
        <v>50000</v>
      </c>
      <c r="C1150" s="168">
        <f t="shared" si="55"/>
        <v>52500</v>
      </c>
      <c r="D1150" s="168">
        <f t="shared" si="55"/>
        <v>55125</v>
      </c>
    </row>
    <row r="1151" spans="1:4" ht="15.5">
      <c r="A1151" s="167" t="s">
        <v>689</v>
      </c>
      <c r="B1151" s="167">
        <v>50000</v>
      </c>
      <c r="C1151" s="168">
        <f t="shared" si="55"/>
        <v>52500</v>
      </c>
      <c r="D1151" s="168">
        <f t="shared" si="55"/>
        <v>55125</v>
      </c>
    </row>
    <row r="1152" spans="1:4" ht="15.5">
      <c r="A1152" s="167" t="s">
        <v>142</v>
      </c>
      <c r="B1152" s="167">
        <v>50000</v>
      </c>
      <c r="C1152" s="168">
        <f t="shared" si="55"/>
        <v>52500</v>
      </c>
      <c r="D1152" s="168">
        <f t="shared" si="55"/>
        <v>55125</v>
      </c>
    </row>
    <row r="1153" spans="1:4" ht="15.5">
      <c r="A1153" s="167" t="s">
        <v>67</v>
      </c>
      <c r="B1153" s="167">
        <v>50000</v>
      </c>
      <c r="C1153" s="168">
        <f t="shared" si="55"/>
        <v>52500</v>
      </c>
      <c r="D1153" s="168">
        <f t="shared" si="55"/>
        <v>55125</v>
      </c>
    </row>
    <row r="1154" spans="1:4" ht="15.5">
      <c r="A1154" s="200" t="s">
        <v>672</v>
      </c>
      <c r="B1154" s="200"/>
      <c r="C1154" s="168">
        <f t="shared" si="55"/>
        <v>0</v>
      </c>
      <c r="D1154" s="168">
        <f t="shared" si="55"/>
        <v>0</v>
      </c>
    </row>
    <row r="1155" spans="1:4" ht="15.5">
      <c r="A1155" s="196" t="s">
        <v>727</v>
      </c>
      <c r="B1155" s="196">
        <f>B1156</f>
        <v>70000</v>
      </c>
      <c r="C1155" s="166">
        <f t="shared" si="55"/>
        <v>73500</v>
      </c>
      <c r="D1155" s="166">
        <f t="shared" si="55"/>
        <v>77175</v>
      </c>
    </row>
    <row r="1156" spans="1:4" ht="15.5">
      <c r="A1156" s="167" t="s">
        <v>694</v>
      </c>
      <c r="B1156" s="167">
        <v>70000</v>
      </c>
      <c r="C1156" s="168">
        <f t="shared" si="55"/>
        <v>73500</v>
      </c>
      <c r="D1156" s="168">
        <f t="shared" si="55"/>
        <v>77175</v>
      </c>
    </row>
    <row r="1157" spans="1:4" ht="15.5">
      <c r="A1157" s="196" t="s">
        <v>115</v>
      </c>
      <c r="B1157" s="196">
        <f>SUM(B1158:B1161)</f>
        <v>200000</v>
      </c>
      <c r="C1157" s="166">
        <f t="shared" ref="C1157:D1165" si="56">B1157*1.05</f>
        <v>210000</v>
      </c>
      <c r="D1157" s="166">
        <f t="shared" si="56"/>
        <v>220500</v>
      </c>
    </row>
    <row r="1158" spans="1:4" ht="15.5">
      <c r="A1158" s="167" t="s">
        <v>69</v>
      </c>
      <c r="B1158" s="167">
        <v>100000</v>
      </c>
      <c r="C1158" s="168">
        <f t="shared" si="56"/>
        <v>105000</v>
      </c>
      <c r="D1158" s="168">
        <f t="shared" si="56"/>
        <v>110250</v>
      </c>
    </row>
    <row r="1159" spans="1:4" ht="15.5">
      <c r="A1159" s="167" t="s">
        <v>70</v>
      </c>
      <c r="B1159" s="167">
        <v>0</v>
      </c>
      <c r="C1159" s="168">
        <f t="shared" si="56"/>
        <v>0</v>
      </c>
      <c r="D1159" s="168">
        <f t="shared" si="56"/>
        <v>0</v>
      </c>
    </row>
    <row r="1160" spans="1:4" ht="15.5">
      <c r="A1160" s="167" t="s">
        <v>728</v>
      </c>
      <c r="B1160" s="167">
        <v>0</v>
      </c>
      <c r="C1160" s="168">
        <f t="shared" si="56"/>
        <v>0</v>
      </c>
      <c r="D1160" s="168">
        <f t="shared" si="56"/>
        <v>0</v>
      </c>
    </row>
    <row r="1161" spans="1:4" ht="15.5">
      <c r="A1161" s="167" t="s">
        <v>729</v>
      </c>
      <c r="B1161" s="167">
        <v>100000</v>
      </c>
      <c r="C1161" s="168">
        <f t="shared" si="56"/>
        <v>105000</v>
      </c>
      <c r="D1161" s="168">
        <f t="shared" si="56"/>
        <v>110250</v>
      </c>
    </row>
    <row r="1162" spans="1:4" ht="15.5">
      <c r="A1162" s="196" t="s">
        <v>730</v>
      </c>
      <c r="B1162" s="196">
        <v>50000</v>
      </c>
      <c r="C1162" s="168">
        <f t="shared" si="56"/>
        <v>52500</v>
      </c>
      <c r="D1162" s="168">
        <f t="shared" si="56"/>
        <v>55125</v>
      </c>
    </row>
    <row r="1163" spans="1:4" ht="15.5">
      <c r="A1163" s="195" t="s">
        <v>731</v>
      </c>
      <c r="B1163" s="195">
        <v>0</v>
      </c>
      <c r="C1163" s="168">
        <f t="shared" si="56"/>
        <v>0</v>
      </c>
      <c r="D1163" s="168">
        <f t="shared" si="56"/>
        <v>0</v>
      </c>
    </row>
    <row r="1164" spans="1:4" ht="15.5">
      <c r="A1164" s="195" t="s">
        <v>732</v>
      </c>
      <c r="B1164" s="195">
        <v>0</v>
      </c>
      <c r="C1164" s="168">
        <f t="shared" si="56"/>
        <v>0</v>
      </c>
      <c r="D1164" s="168">
        <f t="shared" si="56"/>
        <v>0</v>
      </c>
    </row>
    <row r="1165" spans="1:4" ht="15.5">
      <c r="A1165" s="217" t="s">
        <v>733</v>
      </c>
      <c r="B1165" s="217">
        <v>50000</v>
      </c>
      <c r="C1165" s="168">
        <f t="shared" si="56"/>
        <v>52500</v>
      </c>
      <c r="D1165" s="168">
        <f t="shared" si="56"/>
        <v>55125</v>
      </c>
    </row>
    <row r="1166" spans="1:4" ht="31">
      <c r="A1166" s="165" t="s">
        <v>648</v>
      </c>
      <c r="B1166" s="165">
        <f>B1162+B1157+B1155+B1148+B1146+B1140+B1137+B1133+B1122+B1120+B1117+B1114+B1112+B1107+B1103+B1099+B1095+B1092</f>
        <v>9960000</v>
      </c>
      <c r="C1166" s="166">
        <f t="shared" ref="C1166:C1174" si="57">SUM(B1166:B1166)</f>
        <v>9960000</v>
      </c>
      <c r="D1166" s="197">
        <v>7831222.3499999996</v>
      </c>
    </row>
    <row r="1167" spans="1:4" ht="15.5">
      <c r="A1167" s="179" t="s">
        <v>672</v>
      </c>
      <c r="B1167" s="179"/>
      <c r="C1167" s="168">
        <f t="shared" si="57"/>
        <v>0</v>
      </c>
      <c r="D1167" s="180"/>
    </row>
    <row r="1168" spans="1:4" ht="15.5">
      <c r="A1168" s="179" t="s">
        <v>612</v>
      </c>
      <c r="B1168" s="179"/>
      <c r="C1168" s="168">
        <f t="shared" si="57"/>
        <v>0</v>
      </c>
      <c r="D1168" s="194"/>
    </row>
    <row r="1169" spans="1:4" ht="15.5">
      <c r="A1169" s="179" t="s">
        <v>739</v>
      </c>
      <c r="B1169" s="179">
        <v>0</v>
      </c>
      <c r="C1169" s="168">
        <f t="shared" si="57"/>
        <v>0</v>
      </c>
      <c r="D1169" s="180">
        <v>0</v>
      </c>
    </row>
    <row r="1170" spans="1:4" ht="15.5">
      <c r="A1170" s="179" t="s">
        <v>156</v>
      </c>
      <c r="B1170" s="179">
        <v>0</v>
      </c>
      <c r="C1170" s="168">
        <f t="shared" si="57"/>
        <v>0</v>
      </c>
      <c r="D1170" s="180">
        <v>0</v>
      </c>
    </row>
    <row r="1171" spans="1:4" ht="15.5">
      <c r="A1171" s="179" t="s">
        <v>694</v>
      </c>
      <c r="B1171" s="179">
        <v>0</v>
      </c>
      <c r="C1171" s="168">
        <f t="shared" si="57"/>
        <v>0</v>
      </c>
      <c r="D1171" s="180">
        <v>0</v>
      </c>
    </row>
    <row r="1172" spans="1:4" ht="15.5">
      <c r="A1172" s="179" t="s">
        <v>742</v>
      </c>
      <c r="B1172" s="179">
        <v>0</v>
      </c>
      <c r="C1172" s="168">
        <f t="shared" si="57"/>
        <v>0</v>
      </c>
      <c r="D1172" s="180">
        <v>0</v>
      </c>
    </row>
    <row r="1173" spans="1:4" ht="15.5">
      <c r="A1173" s="179" t="s">
        <v>741</v>
      </c>
      <c r="B1173" s="179">
        <v>0</v>
      </c>
      <c r="C1173" s="168">
        <f t="shared" si="57"/>
        <v>0</v>
      </c>
      <c r="D1173" s="180">
        <v>0</v>
      </c>
    </row>
    <row r="1174" spans="1:4" ht="15.5">
      <c r="A1174" s="179" t="s">
        <v>649</v>
      </c>
      <c r="B1174" s="179">
        <v>0</v>
      </c>
      <c r="C1174" s="168">
        <f t="shared" si="57"/>
        <v>0</v>
      </c>
      <c r="D1174" s="180">
        <v>0</v>
      </c>
    </row>
    <row r="1175" spans="1:4" ht="46.5">
      <c r="A1175" s="165" t="s">
        <v>650</v>
      </c>
      <c r="B1175" s="165">
        <f>B1166+B1174</f>
        <v>9960000</v>
      </c>
      <c r="C1175" s="166">
        <f>B1175*1.05</f>
        <v>10458000</v>
      </c>
      <c r="D1175" s="166">
        <f>C1175*1.05</f>
        <v>10980900</v>
      </c>
    </row>
    <row r="1176" spans="1:4" ht="15.5">
      <c r="A1176" s="179" t="s">
        <v>672</v>
      </c>
      <c r="B1176" s="179"/>
      <c r="C1176" s="168">
        <f>SUM(B1176:B1176)</f>
        <v>0</v>
      </c>
      <c r="D1176" s="194"/>
    </row>
    <row r="1177" spans="1:4" ht="15.5">
      <c r="A1177" s="218" t="s">
        <v>651</v>
      </c>
      <c r="B1177" s="218">
        <f>B1175+B1076+B997+B901+B805+B710+B625+B531+B436+B350+B254+B159</f>
        <v>1089823523.8497469</v>
      </c>
      <c r="C1177" s="168">
        <v>1058621426</v>
      </c>
      <c r="D1177" s="219">
        <v>1116829770.87396</v>
      </c>
    </row>
    <row r="1178" spans="1:4" ht="15.5">
      <c r="A1178" s="202" t="s">
        <v>672</v>
      </c>
      <c r="B1178" s="202"/>
      <c r="C1178" s="187">
        <v>0</v>
      </c>
      <c r="D1178" s="220"/>
    </row>
    <row r="1179" spans="1:4" ht="31">
      <c r="A1179" s="175" t="s">
        <v>652</v>
      </c>
      <c r="B1179" s="175" t="s">
        <v>424</v>
      </c>
      <c r="C1179" s="176" t="s">
        <v>12</v>
      </c>
      <c r="D1179" s="176" t="s">
        <v>426</v>
      </c>
    </row>
    <row r="1180" spans="1:4" ht="15.5">
      <c r="A1180" s="175" t="s">
        <v>620</v>
      </c>
      <c r="B1180" s="175"/>
      <c r="C1180" s="187">
        <v>0</v>
      </c>
      <c r="D1180" s="184">
        <f t="shared" ref="D1180:D1243" si="58">C1180*1.05</f>
        <v>0</v>
      </c>
    </row>
    <row r="1181" spans="1:4" ht="15.5">
      <c r="A1181" s="177" t="s">
        <v>666</v>
      </c>
      <c r="B1181" s="177">
        <v>0</v>
      </c>
      <c r="C1181" s="168">
        <f t="shared" ref="C1181:C1189" si="59">SUM(B1181:B1181)</f>
        <v>0</v>
      </c>
      <c r="D1181" s="184">
        <f t="shared" si="58"/>
        <v>0</v>
      </c>
    </row>
    <row r="1182" spans="1:4" ht="15.5">
      <c r="A1182" s="177" t="s">
        <v>81</v>
      </c>
      <c r="B1182" s="177">
        <v>0</v>
      </c>
      <c r="C1182" s="168">
        <f t="shared" si="59"/>
        <v>0</v>
      </c>
      <c r="D1182" s="184">
        <f t="shared" si="58"/>
        <v>0</v>
      </c>
    </row>
    <row r="1183" spans="1:4" ht="15.5">
      <c r="A1183" s="181" t="s">
        <v>668</v>
      </c>
      <c r="B1183" s="181">
        <v>0</v>
      </c>
      <c r="C1183" s="168">
        <f t="shared" si="59"/>
        <v>0</v>
      </c>
      <c r="D1183" s="184">
        <f t="shared" si="58"/>
        <v>0</v>
      </c>
    </row>
    <row r="1184" spans="1:4" ht="15.5">
      <c r="A1184" s="177" t="s">
        <v>712</v>
      </c>
      <c r="B1184" s="177">
        <v>0</v>
      </c>
      <c r="C1184" s="168">
        <f t="shared" si="59"/>
        <v>0</v>
      </c>
      <c r="D1184" s="184">
        <f t="shared" si="58"/>
        <v>0</v>
      </c>
    </row>
    <row r="1185" spans="1:4" ht="31">
      <c r="A1185" s="177" t="s">
        <v>713</v>
      </c>
      <c r="B1185" s="177">
        <v>0</v>
      </c>
      <c r="C1185" s="168">
        <f t="shared" si="59"/>
        <v>0</v>
      </c>
      <c r="D1185" s="184">
        <f t="shared" si="58"/>
        <v>0</v>
      </c>
    </row>
    <row r="1186" spans="1:4" ht="15.5">
      <c r="A1186" s="177" t="s">
        <v>714</v>
      </c>
      <c r="B1186" s="177">
        <v>0</v>
      </c>
      <c r="C1186" s="168">
        <f t="shared" si="59"/>
        <v>0</v>
      </c>
      <c r="D1186" s="184">
        <f t="shared" si="58"/>
        <v>0</v>
      </c>
    </row>
    <row r="1187" spans="1:4" ht="15.5">
      <c r="A1187" s="177" t="s">
        <v>715</v>
      </c>
      <c r="B1187" s="177">
        <v>0</v>
      </c>
      <c r="C1187" s="168">
        <f t="shared" si="59"/>
        <v>0</v>
      </c>
      <c r="D1187" s="184">
        <f t="shared" si="58"/>
        <v>0</v>
      </c>
    </row>
    <row r="1188" spans="1:4" ht="31">
      <c r="A1188" s="177" t="s">
        <v>716</v>
      </c>
      <c r="B1188" s="177">
        <v>0</v>
      </c>
      <c r="C1188" s="168">
        <f t="shared" si="59"/>
        <v>0</v>
      </c>
      <c r="D1188" s="184">
        <f t="shared" si="58"/>
        <v>0</v>
      </c>
    </row>
    <row r="1189" spans="1:4" ht="15.5">
      <c r="A1189" s="181" t="s">
        <v>717</v>
      </c>
      <c r="B1189" s="181">
        <v>0</v>
      </c>
      <c r="C1189" s="168">
        <f t="shared" si="59"/>
        <v>0</v>
      </c>
      <c r="D1189" s="184">
        <f t="shared" si="58"/>
        <v>0</v>
      </c>
    </row>
    <row r="1190" spans="1:4" ht="15.5">
      <c r="A1190" s="169" t="s">
        <v>29</v>
      </c>
      <c r="B1190" s="169">
        <f>SUM(B1191:B1192)</f>
        <v>9200000</v>
      </c>
      <c r="C1190" s="166">
        <f>B1190*1.05</f>
        <v>9660000</v>
      </c>
      <c r="D1190" s="184">
        <f t="shared" si="58"/>
        <v>10143000</v>
      </c>
    </row>
    <row r="1191" spans="1:4" ht="15.5">
      <c r="A1191" s="170" t="s">
        <v>82</v>
      </c>
      <c r="B1191" s="170">
        <v>7000000</v>
      </c>
      <c r="C1191" s="168">
        <f t="shared" ref="C1191:D1244" si="60">B1191*1.05</f>
        <v>7350000</v>
      </c>
      <c r="D1191" s="184">
        <f t="shared" si="58"/>
        <v>7717500</v>
      </c>
    </row>
    <row r="1192" spans="1:4" ht="15.5">
      <c r="A1192" s="170" t="s">
        <v>83</v>
      </c>
      <c r="B1192" s="170">
        <v>2200000</v>
      </c>
      <c r="C1192" s="168">
        <f t="shared" si="60"/>
        <v>2310000</v>
      </c>
      <c r="D1192" s="184">
        <f t="shared" si="58"/>
        <v>2425500</v>
      </c>
    </row>
    <row r="1193" spans="1:4" ht="15.5">
      <c r="A1193" s="169" t="s">
        <v>126</v>
      </c>
      <c r="B1193" s="169">
        <f>SUM(B1194:B1196)</f>
        <v>2200000</v>
      </c>
      <c r="C1193" s="166">
        <f t="shared" si="60"/>
        <v>2310000</v>
      </c>
      <c r="D1193" s="184">
        <f t="shared" si="58"/>
        <v>2425500</v>
      </c>
    </row>
    <row r="1194" spans="1:4" ht="15.5">
      <c r="A1194" s="170" t="s">
        <v>84</v>
      </c>
      <c r="B1194" s="170">
        <v>1700000</v>
      </c>
      <c r="C1194" s="168">
        <f t="shared" si="60"/>
        <v>1785000</v>
      </c>
      <c r="D1194" s="184">
        <f t="shared" si="58"/>
        <v>1874250</v>
      </c>
    </row>
    <row r="1195" spans="1:4" ht="15.5">
      <c r="A1195" s="170" t="s">
        <v>85</v>
      </c>
      <c r="B1195" s="170">
        <v>450000</v>
      </c>
      <c r="C1195" s="168">
        <f t="shared" si="60"/>
        <v>472500</v>
      </c>
      <c r="D1195" s="184">
        <f t="shared" si="58"/>
        <v>496125</v>
      </c>
    </row>
    <row r="1196" spans="1:4" ht="15.5">
      <c r="A1196" s="170" t="s">
        <v>35</v>
      </c>
      <c r="B1196" s="170">
        <v>50000</v>
      </c>
      <c r="C1196" s="168">
        <f t="shared" si="60"/>
        <v>52500</v>
      </c>
      <c r="D1196" s="184">
        <f t="shared" si="58"/>
        <v>55125</v>
      </c>
    </row>
    <row r="1197" spans="1:4" ht="15.5">
      <c r="A1197" s="169" t="s">
        <v>36</v>
      </c>
      <c r="B1197" s="169">
        <f>SUM(B1198:B1200)</f>
        <v>11000000</v>
      </c>
      <c r="C1197" s="166">
        <f t="shared" si="60"/>
        <v>11550000</v>
      </c>
      <c r="D1197" s="184">
        <f t="shared" si="58"/>
        <v>12127500</v>
      </c>
    </row>
    <row r="1198" spans="1:4" ht="15.5">
      <c r="A1198" s="170" t="s">
        <v>86</v>
      </c>
      <c r="B1198" s="170">
        <v>8800000</v>
      </c>
      <c r="C1198" s="168">
        <f t="shared" si="60"/>
        <v>9240000</v>
      </c>
      <c r="D1198" s="184">
        <f t="shared" si="58"/>
        <v>9702000</v>
      </c>
    </row>
    <row r="1199" spans="1:4" ht="15.5">
      <c r="A1199" s="170" t="s">
        <v>87</v>
      </c>
      <c r="B1199" s="170">
        <v>0</v>
      </c>
      <c r="C1199" s="168">
        <f t="shared" si="60"/>
        <v>0</v>
      </c>
      <c r="D1199" s="184">
        <f t="shared" si="58"/>
        <v>0</v>
      </c>
    </row>
    <row r="1200" spans="1:4" ht="15.5">
      <c r="A1200" s="170" t="s">
        <v>88</v>
      </c>
      <c r="B1200" s="170">
        <v>2200000</v>
      </c>
      <c r="C1200" s="168">
        <f t="shared" si="60"/>
        <v>2310000</v>
      </c>
      <c r="D1200" s="184">
        <f t="shared" si="58"/>
        <v>2425500</v>
      </c>
    </row>
    <row r="1201" spans="1:4" ht="15.5">
      <c r="A1201" s="169" t="s">
        <v>89</v>
      </c>
      <c r="B1201" s="169">
        <v>0</v>
      </c>
      <c r="C1201" s="168">
        <f t="shared" si="60"/>
        <v>0</v>
      </c>
      <c r="D1201" s="184">
        <f t="shared" si="58"/>
        <v>0</v>
      </c>
    </row>
    <row r="1202" spans="1:4" ht="15.5">
      <c r="A1202" s="170" t="s">
        <v>90</v>
      </c>
      <c r="B1202" s="170">
        <v>0</v>
      </c>
      <c r="C1202" s="168">
        <f t="shared" si="60"/>
        <v>0</v>
      </c>
      <c r="D1202" s="184">
        <f t="shared" si="58"/>
        <v>0</v>
      </c>
    </row>
    <row r="1203" spans="1:4" ht="15.5">
      <c r="A1203" s="170" t="s">
        <v>673</v>
      </c>
      <c r="B1203" s="170">
        <v>0</v>
      </c>
      <c r="C1203" s="168">
        <f t="shared" si="60"/>
        <v>0</v>
      </c>
      <c r="D1203" s="184">
        <f t="shared" si="58"/>
        <v>0</v>
      </c>
    </row>
    <row r="1204" spans="1:4" ht="15.5">
      <c r="A1204" s="170" t="s">
        <v>41</v>
      </c>
      <c r="B1204" s="170">
        <v>0</v>
      </c>
      <c r="C1204" s="168">
        <f t="shared" si="60"/>
        <v>0</v>
      </c>
      <c r="D1204" s="184">
        <f t="shared" si="58"/>
        <v>0</v>
      </c>
    </row>
    <row r="1205" spans="1:4" ht="15.5">
      <c r="A1205" s="169" t="s">
        <v>91</v>
      </c>
      <c r="B1205" s="169">
        <f>SUM(B1206:B1209)</f>
        <v>6000000</v>
      </c>
      <c r="C1205" s="166">
        <f t="shared" si="60"/>
        <v>6300000</v>
      </c>
      <c r="D1205" s="184">
        <f t="shared" si="58"/>
        <v>6615000</v>
      </c>
    </row>
    <row r="1206" spans="1:4" ht="15.5">
      <c r="A1206" s="170" t="s">
        <v>44</v>
      </c>
      <c r="B1206" s="170">
        <v>6000000</v>
      </c>
      <c r="C1206" s="168">
        <f t="shared" si="60"/>
        <v>6300000</v>
      </c>
      <c r="D1206" s="184">
        <f t="shared" si="58"/>
        <v>6615000</v>
      </c>
    </row>
    <row r="1207" spans="1:4" ht="15.5">
      <c r="A1207" s="170" t="s">
        <v>165</v>
      </c>
      <c r="B1207" s="170">
        <v>0</v>
      </c>
      <c r="C1207" s="168">
        <f t="shared" si="60"/>
        <v>0</v>
      </c>
      <c r="D1207" s="184">
        <f t="shared" si="58"/>
        <v>0</v>
      </c>
    </row>
    <row r="1208" spans="1:4" ht="15.5">
      <c r="A1208" s="170" t="s">
        <v>45</v>
      </c>
      <c r="B1208" s="170">
        <v>0</v>
      </c>
      <c r="C1208" s="168">
        <f t="shared" si="60"/>
        <v>0</v>
      </c>
      <c r="D1208" s="184">
        <f t="shared" si="58"/>
        <v>0</v>
      </c>
    </row>
    <row r="1209" spans="1:4" ht="15.5">
      <c r="A1209" s="170" t="s">
        <v>46</v>
      </c>
      <c r="B1209" s="170">
        <v>0</v>
      </c>
      <c r="C1209" s="168">
        <f t="shared" si="60"/>
        <v>0</v>
      </c>
      <c r="D1209" s="184">
        <f t="shared" si="58"/>
        <v>0</v>
      </c>
    </row>
    <row r="1210" spans="1:4" ht="15.5">
      <c r="A1210" s="169" t="s">
        <v>718</v>
      </c>
      <c r="B1210" s="169">
        <v>0</v>
      </c>
      <c r="C1210" s="168">
        <f t="shared" si="60"/>
        <v>0</v>
      </c>
      <c r="D1210" s="184">
        <f t="shared" si="58"/>
        <v>0</v>
      </c>
    </row>
    <row r="1211" spans="1:4" ht="15.5">
      <c r="A1211" s="170" t="s">
        <v>719</v>
      </c>
      <c r="B1211" s="170">
        <v>0</v>
      </c>
      <c r="C1211" s="168">
        <f t="shared" si="60"/>
        <v>0</v>
      </c>
      <c r="D1211" s="184">
        <f t="shared" si="58"/>
        <v>0</v>
      </c>
    </row>
    <row r="1212" spans="1:4" ht="15.5">
      <c r="A1212" s="169" t="s">
        <v>47</v>
      </c>
      <c r="B1212" s="169">
        <v>0</v>
      </c>
      <c r="C1212" s="168">
        <f t="shared" si="60"/>
        <v>0</v>
      </c>
      <c r="D1212" s="184">
        <f t="shared" si="58"/>
        <v>0</v>
      </c>
    </row>
    <row r="1213" spans="1:4" ht="15.5">
      <c r="A1213" s="170" t="s">
        <v>93</v>
      </c>
      <c r="B1213" s="170">
        <v>0</v>
      </c>
      <c r="C1213" s="168">
        <f t="shared" si="60"/>
        <v>0</v>
      </c>
      <c r="D1213" s="184">
        <f t="shared" si="58"/>
        <v>0</v>
      </c>
    </row>
    <row r="1214" spans="1:4" ht="15.5">
      <c r="A1214" s="170" t="s">
        <v>94</v>
      </c>
      <c r="B1214" s="170">
        <v>0</v>
      </c>
      <c r="C1214" s="168">
        <f t="shared" si="60"/>
        <v>0</v>
      </c>
      <c r="D1214" s="184">
        <f t="shared" si="58"/>
        <v>0</v>
      </c>
    </row>
    <row r="1215" spans="1:4" ht="15.5">
      <c r="A1215" s="169" t="s">
        <v>49</v>
      </c>
      <c r="B1215" s="169">
        <f>SUM(B1216:B1217)</f>
        <v>19000000</v>
      </c>
      <c r="C1215" s="166">
        <f t="shared" si="60"/>
        <v>19950000</v>
      </c>
      <c r="D1215" s="184">
        <f t="shared" si="58"/>
        <v>20947500</v>
      </c>
    </row>
    <row r="1216" spans="1:4" ht="15.5">
      <c r="A1216" s="170" t="s">
        <v>675</v>
      </c>
      <c r="B1216" s="170">
        <v>6700000</v>
      </c>
      <c r="C1216" s="168">
        <f t="shared" si="60"/>
        <v>7035000</v>
      </c>
      <c r="D1216" s="184">
        <f t="shared" si="58"/>
        <v>7386750</v>
      </c>
    </row>
    <row r="1217" spans="1:4" ht="15.5">
      <c r="A1217" s="170" t="s">
        <v>134</v>
      </c>
      <c r="B1217" s="170">
        <v>12300000</v>
      </c>
      <c r="C1217" s="168">
        <f t="shared" si="60"/>
        <v>12915000</v>
      </c>
      <c r="D1217" s="184">
        <f t="shared" si="58"/>
        <v>13560750</v>
      </c>
    </row>
    <row r="1218" spans="1:4" ht="15.5">
      <c r="A1218" s="169" t="s">
        <v>135</v>
      </c>
      <c r="B1218" s="169">
        <v>0</v>
      </c>
      <c r="C1218" s="168">
        <f t="shared" si="60"/>
        <v>0</v>
      </c>
      <c r="D1218" s="184">
        <f t="shared" si="58"/>
        <v>0</v>
      </c>
    </row>
    <row r="1219" spans="1:4" ht="15.5">
      <c r="A1219" s="170" t="s">
        <v>54</v>
      </c>
      <c r="B1219" s="170">
        <v>0</v>
      </c>
      <c r="C1219" s="168">
        <f t="shared" si="60"/>
        <v>0</v>
      </c>
      <c r="D1219" s="184">
        <f t="shared" si="58"/>
        <v>0</v>
      </c>
    </row>
    <row r="1220" spans="1:4" ht="15.5">
      <c r="A1220" s="169" t="s">
        <v>677</v>
      </c>
      <c r="B1220" s="169">
        <f>SUM(B1221:B1230)</f>
        <v>122500000</v>
      </c>
      <c r="C1220" s="166">
        <f t="shared" si="60"/>
        <v>128625000</v>
      </c>
      <c r="D1220" s="184">
        <f t="shared" si="58"/>
        <v>135056250</v>
      </c>
    </row>
    <row r="1221" spans="1:4" ht="15.5">
      <c r="A1221" s="170" t="s">
        <v>678</v>
      </c>
      <c r="B1221" s="170">
        <v>30000000</v>
      </c>
      <c r="C1221" s="168">
        <f t="shared" si="60"/>
        <v>31500000</v>
      </c>
      <c r="D1221" s="184">
        <f t="shared" si="58"/>
        <v>33075000</v>
      </c>
    </row>
    <row r="1222" spans="1:4" ht="15.5">
      <c r="A1222" s="170" t="s">
        <v>679</v>
      </c>
      <c r="B1222" s="170">
        <v>40000000</v>
      </c>
      <c r="C1222" s="168">
        <f t="shared" si="60"/>
        <v>42000000</v>
      </c>
      <c r="D1222" s="184">
        <f t="shared" si="58"/>
        <v>44100000</v>
      </c>
    </row>
    <row r="1223" spans="1:4" ht="15.5">
      <c r="A1223" s="170" t="s">
        <v>137</v>
      </c>
      <c r="B1223" s="170">
        <v>12000000</v>
      </c>
      <c r="C1223" s="168">
        <f t="shared" si="60"/>
        <v>12600000</v>
      </c>
      <c r="D1223" s="184">
        <f t="shared" si="58"/>
        <v>13230000</v>
      </c>
    </row>
    <row r="1224" spans="1:4" ht="15.5">
      <c r="A1224" s="170" t="s">
        <v>680</v>
      </c>
      <c r="B1224" s="170">
        <v>2000000</v>
      </c>
      <c r="C1224" s="168">
        <f t="shared" si="60"/>
        <v>2100000</v>
      </c>
      <c r="D1224" s="184">
        <f t="shared" si="58"/>
        <v>2205000</v>
      </c>
    </row>
    <row r="1225" spans="1:4" ht="15.5">
      <c r="A1225" s="170" t="s">
        <v>681</v>
      </c>
      <c r="B1225" s="170">
        <v>30000000</v>
      </c>
      <c r="C1225" s="168">
        <f t="shared" si="60"/>
        <v>31500000</v>
      </c>
      <c r="D1225" s="184">
        <f t="shared" si="58"/>
        <v>33075000</v>
      </c>
    </row>
    <row r="1226" spans="1:4" ht="15.5">
      <c r="A1226" s="170" t="s">
        <v>682</v>
      </c>
      <c r="B1226" s="170">
        <v>0</v>
      </c>
      <c r="C1226" s="168">
        <f t="shared" si="60"/>
        <v>0</v>
      </c>
      <c r="D1226" s="184">
        <f t="shared" si="58"/>
        <v>0</v>
      </c>
    </row>
    <row r="1227" spans="1:4" ht="15.5">
      <c r="A1227" s="170" t="s">
        <v>720</v>
      </c>
      <c r="B1227" s="170">
        <v>8500000</v>
      </c>
      <c r="C1227" s="168">
        <f t="shared" si="60"/>
        <v>8925000</v>
      </c>
      <c r="D1227" s="184">
        <f t="shared" si="58"/>
        <v>9371250</v>
      </c>
    </row>
    <row r="1228" spans="1:4" ht="15.5">
      <c r="A1228" s="170" t="s">
        <v>721</v>
      </c>
      <c r="B1228" s="170">
        <v>0</v>
      </c>
      <c r="C1228" s="168">
        <f t="shared" si="60"/>
        <v>0</v>
      </c>
      <c r="D1228" s="184">
        <f t="shared" si="58"/>
        <v>0</v>
      </c>
    </row>
    <row r="1229" spans="1:4" ht="15.5">
      <c r="A1229" s="170" t="s">
        <v>683</v>
      </c>
      <c r="B1229" s="170">
        <v>0</v>
      </c>
      <c r="C1229" s="168">
        <f t="shared" si="60"/>
        <v>0</v>
      </c>
      <c r="D1229" s="184">
        <f t="shared" si="58"/>
        <v>0</v>
      </c>
    </row>
    <row r="1230" spans="1:4" ht="15.5">
      <c r="A1230" s="170" t="s">
        <v>722</v>
      </c>
      <c r="B1230" s="170">
        <v>0</v>
      </c>
      <c r="C1230" s="168">
        <f t="shared" si="60"/>
        <v>0</v>
      </c>
      <c r="D1230" s="184">
        <f t="shared" si="58"/>
        <v>0</v>
      </c>
    </row>
    <row r="1231" spans="1:4" ht="15.5">
      <c r="A1231" s="169" t="s">
        <v>55</v>
      </c>
      <c r="B1231" s="169">
        <f>SUM(B1232:B1234)</f>
        <v>10500000</v>
      </c>
      <c r="C1231" s="166">
        <f t="shared" si="60"/>
        <v>11025000</v>
      </c>
      <c r="D1231" s="184">
        <f t="shared" si="58"/>
        <v>11576250</v>
      </c>
    </row>
    <row r="1232" spans="1:4" ht="15.5">
      <c r="A1232" s="170" t="s">
        <v>685</v>
      </c>
      <c r="B1232" s="170">
        <v>3000000</v>
      </c>
      <c r="C1232" s="168">
        <f t="shared" si="60"/>
        <v>3150000</v>
      </c>
      <c r="D1232" s="184">
        <f t="shared" si="58"/>
        <v>3307500</v>
      </c>
    </row>
    <row r="1233" spans="1:4" ht="15.5">
      <c r="A1233" s="170" t="s">
        <v>167</v>
      </c>
      <c r="B1233" s="170">
        <v>1700000</v>
      </c>
      <c r="C1233" s="168">
        <f t="shared" si="60"/>
        <v>1785000</v>
      </c>
      <c r="D1233" s="184">
        <f t="shared" si="58"/>
        <v>1874250</v>
      </c>
    </row>
    <row r="1234" spans="1:4" ht="15.5">
      <c r="A1234" s="170" t="s">
        <v>57</v>
      </c>
      <c r="B1234" s="170">
        <v>5800000</v>
      </c>
      <c r="C1234" s="168">
        <f t="shared" si="60"/>
        <v>6090000</v>
      </c>
      <c r="D1234" s="184">
        <f t="shared" si="58"/>
        <v>6394500</v>
      </c>
    </row>
    <row r="1235" spans="1:4" ht="15.5">
      <c r="A1235" s="169" t="s">
        <v>58</v>
      </c>
      <c r="B1235" s="169">
        <f>SUM(B1236:B1237)</f>
        <v>10000000</v>
      </c>
      <c r="C1235" s="166">
        <f t="shared" si="60"/>
        <v>10500000</v>
      </c>
      <c r="D1235" s="184">
        <f t="shared" si="58"/>
        <v>11025000</v>
      </c>
    </row>
    <row r="1236" spans="1:4" ht="15.5">
      <c r="A1236" s="170" t="s">
        <v>102</v>
      </c>
      <c r="B1236" s="170">
        <v>8000000</v>
      </c>
      <c r="C1236" s="168">
        <f t="shared" si="60"/>
        <v>8400000</v>
      </c>
      <c r="D1236" s="184">
        <f t="shared" si="58"/>
        <v>8820000</v>
      </c>
    </row>
    <row r="1237" spans="1:4" ht="15.5">
      <c r="A1237" s="170" t="s">
        <v>723</v>
      </c>
      <c r="B1237" s="170">
        <v>2000000</v>
      </c>
      <c r="C1237" s="168">
        <f t="shared" si="60"/>
        <v>2100000</v>
      </c>
      <c r="D1237" s="184">
        <f t="shared" si="58"/>
        <v>2205000</v>
      </c>
    </row>
    <row r="1238" spans="1:4" ht="15.5">
      <c r="A1238" s="169" t="s">
        <v>60</v>
      </c>
      <c r="B1238" s="169">
        <f>SUM(B1239:B1244)</f>
        <v>7100000</v>
      </c>
      <c r="C1238" s="166">
        <f t="shared" si="60"/>
        <v>7455000</v>
      </c>
      <c r="D1238" s="184">
        <f t="shared" si="58"/>
        <v>7827750</v>
      </c>
    </row>
    <row r="1239" spans="1:4" ht="15.5">
      <c r="A1239" s="170" t="s">
        <v>724</v>
      </c>
      <c r="B1239" s="170">
        <v>100000</v>
      </c>
      <c r="C1239" s="168">
        <f t="shared" si="60"/>
        <v>105000</v>
      </c>
      <c r="D1239" s="184">
        <f t="shared" si="58"/>
        <v>110250</v>
      </c>
    </row>
    <row r="1240" spans="1:4" ht="15.5">
      <c r="A1240" s="170" t="s">
        <v>725</v>
      </c>
      <c r="B1240" s="170">
        <v>4000000</v>
      </c>
      <c r="C1240" s="168">
        <f t="shared" si="60"/>
        <v>4200000</v>
      </c>
      <c r="D1240" s="184">
        <f t="shared" si="58"/>
        <v>4410000</v>
      </c>
    </row>
    <row r="1241" spans="1:4" ht="15.5">
      <c r="A1241" s="170" t="s">
        <v>103</v>
      </c>
      <c r="B1241" s="170">
        <v>0</v>
      </c>
      <c r="C1241" s="168">
        <f t="shared" si="60"/>
        <v>0</v>
      </c>
      <c r="D1241" s="184">
        <f t="shared" si="58"/>
        <v>0</v>
      </c>
    </row>
    <row r="1242" spans="1:4" ht="15.5">
      <c r="A1242" s="170" t="s">
        <v>61</v>
      </c>
      <c r="B1242" s="170">
        <v>0</v>
      </c>
      <c r="C1242" s="168">
        <f t="shared" si="60"/>
        <v>0</v>
      </c>
      <c r="D1242" s="184">
        <f t="shared" si="58"/>
        <v>0</v>
      </c>
    </row>
    <row r="1243" spans="1:4" ht="15.5">
      <c r="A1243" s="170" t="s">
        <v>726</v>
      </c>
      <c r="B1243" s="170">
        <v>0</v>
      </c>
      <c r="C1243" s="168">
        <f t="shared" si="60"/>
        <v>0</v>
      </c>
      <c r="D1243" s="184">
        <f t="shared" si="58"/>
        <v>0</v>
      </c>
    </row>
    <row r="1244" spans="1:4" ht="15.5">
      <c r="A1244" s="170" t="s">
        <v>65</v>
      </c>
      <c r="B1244" s="170">
        <v>3000000</v>
      </c>
      <c r="C1244" s="168">
        <f t="shared" si="60"/>
        <v>3150000</v>
      </c>
      <c r="D1244" s="184">
        <f t="shared" si="60"/>
        <v>3307500</v>
      </c>
    </row>
    <row r="1245" spans="1:4" ht="15.5">
      <c r="A1245" s="169" t="s">
        <v>112</v>
      </c>
      <c r="B1245" s="169">
        <f>SUM(B1246:B1250)</f>
        <v>2500000</v>
      </c>
      <c r="C1245" s="166">
        <f t="shared" ref="C1245:D1272" si="61">B1245*1.05</f>
        <v>2625000</v>
      </c>
      <c r="D1245" s="184">
        <f t="shared" si="61"/>
        <v>2756250</v>
      </c>
    </row>
    <row r="1246" spans="1:4" ht="15.5">
      <c r="A1246" s="170" t="s">
        <v>113</v>
      </c>
      <c r="B1246" s="170">
        <v>0</v>
      </c>
      <c r="C1246" s="168">
        <f t="shared" si="61"/>
        <v>0</v>
      </c>
      <c r="D1246" s="184">
        <f t="shared" si="61"/>
        <v>0</v>
      </c>
    </row>
    <row r="1247" spans="1:4" ht="15.5">
      <c r="A1247" s="170" t="s">
        <v>66</v>
      </c>
      <c r="B1247" s="170">
        <v>500000</v>
      </c>
      <c r="C1247" s="168">
        <f t="shared" si="61"/>
        <v>525000</v>
      </c>
      <c r="D1247" s="184">
        <f t="shared" si="61"/>
        <v>551250</v>
      </c>
    </row>
    <row r="1248" spans="1:4" ht="15.5">
      <c r="A1248" s="170" t="s">
        <v>689</v>
      </c>
      <c r="B1248" s="170">
        <v>0</v>
      </c>
      <c r="C1248" s="168">
        <f t="shared" si="61"/>
        <v>0</v>
      </c>
      <c r="D1248" s="184">
        <f t="shared" si="61"/>
        <v>0</v>
      </c>
    </row>
    <row r="1249" spans="1:4" ht="15.5">
      <c r="A1249" s="170" t="s">
        <v>142</v>
      </c>
      <c r="B1249" s="170">
        <v>2000000</v>
      </c>
      <c r="C1249" s="168">
        <f t="shared" si="61"/>
        <v>2100000</v>
      </c>
      <c r="D1249" s="184">
        <f t="shared" si="61"/>
        <v>2205000</v>
      </c>
    </row>
    <row r="1250" spans="1:4" ht="15.5">
      <c r="A1250" s="170" t="s">
        <v>67</v>
      </c>
      <c r="B1250" s="170">
        <v>0</v>
      </c>
      <c r="C1250" s="168">
        <f t="shared" si="61"/>
        <v>0</v>
      </c>
      <c r="D1250" s="184">
        <f t="shared" si="61"/>
        <v>0</v>
      </c>
    </row>
    <row r="1251" spans="1:4" ht="15.5">
      <c r="A1251" s="169" t="s">
        <v>672</v>
      </c>
      <c r="B1251" s="169">
        <v>0</v>
      </c>
      <c r="C1251" s="168">
        <f t="shared" si="61"/>
        <v>0</v>
      </c>
      <c r="D1251" s="184">
        <f t="shared" si="61"/>
        <v>0</v>
      </c>
    </row>
    <row r="1252" spans="1:4" ht="15.5">
      <c r="A1252" s="169" t="s">
        <v>727</v>
      </c>
      <c r="B1252" s="169">
        <v>0</v>
      </c>
      <c r="C1252" s="166">
        <f t="shared" si="61"/>
        <v>0</v>
      </c>
      <c r="D1252" s="184">
        <f t="shared" si="61"/>
        <v>0</v>
      </c>
    </row>
    <row r="1253" spans="1:4" ht="15.5">
      <c r="A1253" s="169" t="s">
        <v>694</v>
      </c>
      <c r="B1253" s="169">
        <v>0</v>
      </c>
      <c r="C1253" s="168">
        <f t="shared" si="61"/>
        <v>0</v>
      </c>
      <c r="D1253" s="184">
        <f t="shared" si="61"/>
        <v>0</v>
      </c>
    </row>
    <row r="1254" spans="1:4" ht="15.5">
      <c r="A1254" s="169" t="s">
        <v>115</v>
      </c>
      <c r="B1254" s="169">
        <v>0</v>
      </c>
      <c r="C1254" s="166">
        <f t="shared" si="61"/>
        <v>0</v>
      </c>
      <c r="D1254" s="184">
        <f t="shared" si="61"/>
        <v>0</v>
      </c>
    </row>
    <row r="1255" spans="1:4" ht="15.5">
      <c r="A1255" s="170" t="s">
        <v>69</v>
      </c>
      <c r="B1255" s="170">
        <v>0</v>
      </c>
      <c r="C1255" s="168">
        <f t="shared" si="61"/>
        <v>0</v>
      </c>
      <c r="D1255" s="184">
        <f t="shared" si="61"/>
        <v>0</v>
      </c>
    </row>
    <row r="1256" spans="1:4" ht="15.5">
      <c r="A1256" s="170" t="s">
        <v>70</v>
      </c>
      <c r="B1256" s="170">
        <v>0</v>
      </c>
      <c r="C1256" s="168">
        <f t="shared" si="61"/>
        <v>0</v>
      </c>
      <c r="D1256" s="184">
        <f t="shared" si="61"/>
        <v>0</v>
      </c>
    </row>
    <row r="1257" spans="1:4" ht="15.5">
      <c r="A1257" s="170" t="s">
        <v>728</v>
      </c>
      <c r="B1257" s="170">
        <v>0</v>
      </c>
      <c r="C1257" s="168">
        <f t="shared" si="61"/>
        <v>0</v>
      </c>
      <c r="D1257" s="184">
        <f t="shared" si="61"/>
        <v>0</v>
      </c>
    </row>
    <row r="1258" spans="1:4" ht="15.5">
      <c r="A1258" s="169" t="s">
        <v>729</v>
      </c>
      <c r="B1258" s="169">
        <v>0</v>
      </c>
      <c r="C1258" s="168">
        <f t="shared" si="61"/>
        <v>0</v>
      </c>
      <c r="D1258" s="184">
        <f t="shared" si="61"/>
        <v>0</v>
      </c>
    </row>
    <row r="1259" spans="1:4" ht="15.5">
      <c r="A1259" s="169" t="s">
        <v>730</v>
      </c>
      <c r="B1259" s="169">
        <v>0</v>
      </c>
      <c r="C1259" s="166">
        <f t="shared" si="61"/>
        <v>0</v>
      </c>
      <c r="D1259" s="184">
        <f t="shared" si="61"/>
        <v>0</v>
      </c>
    </row>
    <row r="1260" spans="1:4" ht="15.5">
      <c r="A1260" s="170" t="s">
        <v>731</v>
      </c>
      <c r="B1260" s="170">
        <v>0</v>
      </c>
      <c r="C1260" s="168">
        <f t="shared" si="61"/>
        <v>0</v>
      </c>
      <c r="D1260" s="184">
        <f t="shared" si="61"/>
        <v>0</v>
      </c>
    </row>
    <row r="1261" spans="1:4" ht="15.5">
      <c r="A1261" s="170" t="s">
        <v>732</v>
      </c>
      <c r="B1261" s="170">
        <v>0</v>
      </c>
      <c r="C1261" s="168">
        <f t="shared" si="61"/>
        <v>0</v>
      </c>
      <c r="D1261" s="184">
        <f t="shared" si="61"/>
        <v>0</v>
      </c>
    </row>
    <row r="1262" spans="1:4" ht="15.5">
      <c r="A1262" s="169" t="s">
        <v>733</v>
      </c>
      <c r="B1262" s="169">
        <v>0</v>
      </c>
      <c r="C1262" s="168">
        <f t="shared" si="61"/>
        <v>0</v>
      </c>
      <c r="D1262" s="184">
        <f t="shared" si="61"/>
        <v>0</v>
      </c>
    </row>
    <row r="1263" spans="1:4" ht="15.5">
      <c r="A1263" s="179" t="s">
        <v>653</v>
      </c>
      <c r="B1263" s="179">
        <f>B1245+B1238+B1235+B1231+B1220+B1215+B1205+B1197+B1193+B1190</f>
        <v>200000000</v>
      </c>
      <c r="C1263" s="166">
        <f t="shared" si="61"/>
        <v>210000000</v>
      </c>
      <c r="D1263" s="184">
        <f t="shared" si="61"/>
        <v>220500000</v>
      </c>
    </row>
    <row r="1264" spans="1:4" ht="15.5">
      <c r="A1264" s="179" t="s">
        <v>672</v>
      </c>
      <c r="B1264" s="179"/>
      <c r="C1264" s="168">
        <f>SUM(B1264:B1264)</f>
        <v>0</v>
      </c>
      <c r="D1264" s="184">
        <f t="shared" si="61"/>
        <v>0</v>
      </c>
    </row>
    <row r="1265" spans="1:4" ht="15.5">
      <c r="A1265" s="179" t="s">
        <v>612</v>
      </c>
      <c r="B1265" s="179"/>
      <c r="C1265" s="168">
        <f>SUM(B1265:B1265)</f>
        <v>0</v>
      </c>
      <c r="D1265" s="184">
        <f t="shared" si="61"/>
        <v>0</v>
      </c>
    </row>
    <row r="1266" spans="1:4" ht="15.5">
      <c r="A1266" s="179" t="s">
        <v>739</v>
      </c>
      <c r="B1266" s="179">
        <v>0</v>
      </c>
      <c r="C1266" s="168">
        <f>SUM(B1266:B1266)</f>
        <v>0</v>
      </c>
      <c r="D1266" s="184">
        <f t="shared" si="61"/>
        <v>0</v>
      </c>
    </row>
    <row r="1267" spans="1:4" ht="15.5">
      <c r="A1267" s="167" t="s">
        <v>156</v>
      </c>
      <c r="B1267" s="167">
        <v>50000000</v>
      </c>
      <c r="C1267" s="168">
        <f t="shared" si="61"/>
        <v>52500000</v>
      </c>
      <c r="D1267" s="221">
        <f t="shared" si="61"/>
        <v>55125000</v>
      </c>
    </row>
    <row r="1268" spans="1:4" ht="15.5">
      <c r="A1268" s="179" t="s">
        <v>694</v>
      </c>
      <c r="B1268" s="179">
        <v>0</v>
      </c>
      <c r="C1268" s="168">
        <f t="shared" ref="C1268:C1270" si="62">SUM(B1268:B1268)</f>
        <v>0</v>
      </c>
      <c r="D1268" s="184">
        <f t="shared" si="61"/>
        <v>0</v>
      </c>
    </row>
    <row r="1269" spans="1:4" ht="15.5">
      <c r="A1269" s="179" t="s">
        <v>742</v>
      </c>
      <c r="B1269" s="179">
        <v>0</v>
      </c>
      <c r="C1269" s="168">
        <f t="shared" si="62"/>
        <v>0</v>
      </c>
      <c r="D1269" s="184">
        <f t="shared" si="61"/>
        <v>0</v>
      </c>
    </row>
    <row r="1270" spans="1:4" ht="15.5">
      <c r="A1270" s="179" t="s">
        <v>741</v>
      </c>
      <c r="B1270" s="179">
        <v>0</v>
      </c>
      <c r="C1270" s="168">
        <f t="shared" si="62"/>
        <v>0</v>
      </c>
      <c r="D1270" s="184">
        <f t="shared" si="61"/>
        <v>0</v>
      </c>
    </row>
    <row r="1271" spans="1:4" ht="15.5">
      <c r="A1271" s="179" t="s">
        <v>654</v>
      </c>
      <c r="B1271" s="179">
        <f>SUM(B1266:B1270)</f>
        <v>50000000</v>
      </c>
      <c r="C1271" s="166">
        <f t="shared" ref="C1271:D1277" si="63">B1271*1.05</f>
        <v>52500000</v>
      </c>
      <c r="D1271" s="184">
        <f t="shared" si="61"/>
        <v>55125000</v>
      </c>
    </row>
    <row r="1272" spans="1:4" ht="15.5">
      <c r="A1272" s="179" t="s">
        <v>655</v>
      </c>
      <c r="B1272" s="179">
        <f>B1263+B1271</f>
        <v>250000000</v>
      </c>
      <c r="C1272" s="166">
        <f t="shared" si="63"/>
        <v>262500000</v>
      </c>
      <c r="D1272" s="184">
        <f t="shared" si="61"/>
        <v>275625000</v>
      </c>
    </row>
    <row r="1273" spans="1:4" ht="15.5">
      <c r="A1273" s="167" t="s">
        <v>672</v>
      </c>
      <c r="B1273" s="167"/>
      <c r="C1273" s="187"/>
      <c r="D1273" s="186"/>
    </row>
    <row r="1274" spans="1:4" ht="15.5">
      <c r="A1274" s="222" t="s">
        <v>360</v>
      </c>
      <c r="B1274" s="222">
        <f>B1275+B133</f>
        <v>2186585743.0261793</v>
      </c>
      <c r="C1274" s="166">
        <f t="shared" si="63"/>
        <v>2295915030.1774883</v>
      </c>
      <c r="D1274" s="184">
        <f t="shared" si="63"/>
        <v>2410710781.6863627</v>
      </c>
    </row>
    <row r="1275" spans="1:4" ht="15.5">
      <c r="A1275" s="183" t="s">
        <v>73</v>
      </c>
      <c r="B1275" s="183">
        <f>B1272+B1177+B159</f>
        <v>1359823523.8497469</v>
      </c>
      <c r="C1275" s="166">
        <f t="shared" si="63"/>
        <v>1427814700.0422344</v>
      </c>
      <c r="D1275" s="184">
        <f t="shared" si="63"/>
        <v>1499205435.0443461</v>
      </c>
    </row>
    <row r="1276" spans="1:4" ht="15.5">
      <c r="A1276" s="183" t="s">
        <v>656</v>
      </c>
      <c r="B1276" s="183">
        <v>0</v>
      </c>
      <c r="C1276" s="185"/>
      <c r="D1276" s="223">
        <v>0</v>
      </c>
    </row>
    <row r="1277" spans="1:4" ht="15.5">
      <c r="A1277" s="183" t="s">
        <v>375</v>
      </c>
      <c r="B1277" s="183">
        <f>B1274-B1275</f>
        <v>826762219.17643237</v>
      </c>
      <c r="C1277" s="166">
        <f>B1277*1.05</f>
        <v>868100330.13525403</v>
      </c>
      <c r="D1277" s="184">
        <f t="shared" si="63"/>
        <v>911505346.64201677</v>
      </c>
    </row>
  </sheetData>
  <protectedRanges>
    <protectedRange password="C43E" sqref="B94" name="Range1_10_1_1_1_1_1_1"/>
  </protectedRanges>
  <autoFilter ref="A4:E1277"/>
  <mergeCells count="3">
    <mergeCell ref="A1:D1"/>
    <mergeCell ref="A2:D2"/>
    <mergeCell ref="A3:D3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1"/>
  <sheetViews>
    <sheetView topLeftCell="A237" workbookViewId="0">
      <selection activeCell="B62" sqref="B62"/>
    </sheetView>
  </sheetViews>
  <sheetFormatPr defaultColWidth="9" defaultRowHeight="15.5"/>
  <cols>
    <col min="1" max="1" width="52.453125" style="111" customWidth="1"/>
    <col min="2" max="2" width="19.453125" style="111" customWidth="1"/>
    <col min="3" max="3" width="15.90625" style="111" customWidth="1"/>
    <col min="4" max="4" width="17.453125" style="111" customWidth="1"/>
    <col min="5" max="5" width="24.54296875" style="432" customWidth="1"/>
    <col min="6" max="16384" width="9" style="111"/>
  </cols>
  <sheetData>
    <row r="1" spans="1:4">
      <c r="A1" s="732"/>
      <c r="B1" s="732"/>
      <c r="C1" s="732"/>
      <c r="D1" s="732"/>
    </row>
    <row r="2" spans="1:4">
      <c r="A2" s="731"/>
      <c r="B2" s="731"/>
      <c r="C2" s="731"/>
      <c r="D2" s="731"/>
    </row>
    <row r="3" spans="1:4" ht="31">
      <c r="A3" s="91" t="s">
        <v>657</v>
      </c>
      <c r="B3" s="92" t="s">
        <v>7</v>
      </c>
      <c r="C3" s="92" t="s">
        <v>8</v>
      </c>
      <c r="D3" s="92" t="s">
        <v>9</v>
      </c>
    </row>
    <row r="4" spans="1:4">
      <c r="A4" s="91" t="s">
        <v>80</v>
      </c>
      <c r="B4" s="93">
        <f>B5</f>
        <v>0</v>
      </c>
      <c r="C4" s="93">
        <v>0</v>
      </c>
      <c r="D4" s="93">
        <v>0</v>
      </c>
    </row>
    <row r="5" spans="1:4" ht="15.75" customHeight="1">
      <c r="A5" s="91" t="s">
        <v>81</v>
      </c>
      <c r="B5" s="94">
        <v>0</v>
      </c>
      <c r="C5" s="94"/>
      <c r="D5" s="94"/>
    </row>
    <row r="6" spans="1:4">
      <c r="A6" s="91" t="s">
        <v>29</v>
      </c>
      <c r="B6" s="93">
        <f>B7+B8</f>
        <v>72000</v>
      </c>
      <c r="C6" s="93">
        <f t="shared" ref="C6:D6" si="0">C7+C8</f>
        <v>75600</v>
      </c>
      <c r="D6" s="93">
        <f t="shared" si="0"/>
        <v>79380</v>
      </c>
    </row>
    <row r="7" spans="1:4">
      <c r="A7" s="91" t="s">
        <v>82</v>
      </c>
      <c r="B7" s="94">
        <v>36000</v>
      </c>
      <c r="C7" s="94">
        <f>B7*1.05</f>
        <v>37800</v>
      </c>
      <c r="D7" s="94">
        <f>C7*1.05</f>
        <v>39690</v>
      </c>
    </row>
    <row r="8" spans="1:4">
      <c r="A8" s="91" t="s">
        <v>83</v>
      </c>
      <c r="B8" s="94">
        <v>36000</v>
      </c>
      <c r="C8" s="94">
        <f>B8*1.05</f>
        <v>37800</v>
      </c>
      <c r="D8" s="94">
        <f>C8*1.05</f>
        <v>39690</v>
      </c>
    </row>
    <row r="9" spans="1:4">
      <c r="A9" s="91" t="s">
        <v>32</v>
      </c>
      <c r="B9" s="93">
        <f>B10+B11+B12</f>
        <v>206000</v>
      </c>
      <c r="C9" s="93">
        <f t="shared" ref="C9:D9" si="1">C10+C11+C12</f>
        <v>216300</v>
      </c>
      <c r="D9" s="93">
        <f t="shared" si="1"/>
        <v>227115</v>
      </c>
    </row>
    <row r="10" spans="1:4">
      <c r="A10" s="91" t="s">
        <v>84</v>
      </c>
      <c r="B10" s="94">
        <v>110000</v>
      </c>
      <c r="C10" s="94">
        <f>B10*1.05</f>
        <v>115500</v>
      </c>
      <c r="D10" s="94">
        <f>C10*1.05</f>
        <v>121275</v>
      </c>
    </row>
    <row r="11" spans="1:4">
      <c r="A11" s="91" t="s">
        <v>85</v>
      </c>
      <c r="B11" s="94">
        <v>96000</v>
      </c>
      <c r="C11" s="94">
        <f t="shared" ref="C11:D11" si="2">B11*1.05</f>
        <v>100800</v>
      </c>
      <c r="D11" s="94">
        <f t="shared" si="2"/>
        <v>105840</v>
      </c>
    </row>
    <row r="12" spans="1:4">
      <c r="A12" s="91" t="s">
        <v>35</v>
      </c>
      <c r="B12" s="94">
        <v>0</v>
      </c>
      <c r="C12" s="94">
        <f t="shared" ref="C12:D12" si="3">B12*1.05</f>
        <v>0</v>
      </c>
      <c r="D12" s="94">
        <f t="shared" si="3"/>
        <v>0</v>
      </c>
    </row>
    <row r="13" spans="1:4">
      <c r="A13" s="91" t="s">
        <v>36</v>
      </c>
      <c r="B13" s="93">
        <f>B14+B15+B16+B17+B18</f>
        <v>6848627</v>
      </c>
      <c r="C13" s="93">
        <f t="shared" ref="C13:D13" si="4">C14+C15+C16+C17+C18</f>
        <v>7191058.3499999996</v>
      </c>
      <c r="D13" s="93">
        <f t="shared" si="4"/>
        <v>7550611.2675000001</v>
      </c>
    </row>
    <row r="14" spans="1:4">
      <c r="A14" s="91" t="s">
        <v>86</v>
      </c>
      <c r="B14" s="94">
        <v>760000</v>
      </c>
      <c r="C14" s="94">
        <f>B14*1.05</f>
        <v>798000</v>
      </c>
      <c r="D14" s="94">
        <f>C14*1.05</f>
        <v>837900</v>
      </c>
    </row>
    <row r="15" spans="1:4">
      <c r="A15" s="91" t="s">
        <v>87</v>
      </c>
      <c r="B15" s="94">
        <v>1671400</v>
      </c>
      <c r="C15" s="94">
        <f t="shared" ref="C15:D18" si="5">B15*1.05</f>
        <v>1754970</v>
      </c>
      <c r="D15" s="94">
        <f t="shared" si="5"/>
        <v>1842718.5</v>
      </c>
    </row>
    <row r="16" spans="1:4">
      <c r="A16" s="91" t="s">
        <v>88</v>
      </c>
      <c r="B16" s="94">
        <v>1726600</v>
      </c>
      <c r="C16" s="94">
        <f t="shared" si="5"/>
        <v>1812930</v>
      </c>
      <c r="D16" s="94">
        <f t="shared" si="5"/>
        <v>1903576.5</v>
      </c>
    </row>
    <row r="17" spans="1:4">
      <c r="A17" s="91" t="s">
        <v>39</v>
      </c>
      <c r="B17" s="94">
        <v>942760</v>
      </c>
      <c r="C17" s="94">
        <f t="shared" si="5"/>
        <v>989898</v>
      </c>
      <c r="D17" s="94">
        <f t="shared" si="5"/>
        <v>1039392.9</v>
      </c>
    </row>
    <row r="18" spans="1:4">
      <c r="A18" s="91" t="s">
        <v>40</v>
      </c>
      <c r="B18" s="94">
        <v>1747867</v>
      </c>
      <c r="C18" s="94">
        <f t="shared" si="5"/>
        <v>1835260.35</v>
      </c>
      <c r="D18" s="94">
        <f t="shared" si="5"/>
        <v>1927023.3675000002</v>
      </c>
    </row>
    <row r="19" spans="1:4">
      <c r="A19" s="91" t="s">
        <v>89</v>
      </c>
      <c r="B19" s="93">
        <f>B20+B21</f>
        <v>0</v>
      </c>
      <c r="C19" s="93">
        <f t="shared" ref="C19:D19" si="6">C20+C21</f>
        <v>0</v>
      </c>
      <c r="D19" s="93">
        <f t="shared" si="6"/>
        <v>0</v>
      </c>
    </row>
    <row r="20" spans="1:4">
      <c r="A20" s="91" t="s">
        <v>90</v>
      </c>
      <c r="B20" s="94">
        <v>0</v>
      </c>
      <c r="C20" s="94">
        <f>B20*1.05</f>
        <v>0</v>
      </c>
      <c r="D20" s="94">
        <f>C20*1.05</f>
        <v>0</v>
      </c>
    </row>
    <row r="21" spans="1:4">
      <c r="A21" s="91" t="s">
        <v>41</v>
      </c>
      <c r="B21" s="94">
        <v>0</v>
      </c>
      <c r="C21" s="94">
        <f>B21*1.05</f>
        <v>0</v>
      </c>
      <c r="D21" s="94">
        <f>C21*1.05</f>
        <v>0</v>
      </c>
    </row>
    <row r="22" spans="1:4">
      <c r="A22" s="91" t="s">
        <v>91</v>
      </c>
      <c r="B22" s="93">
        <f>B23+B24</f>
        <v>475600</v>
      </c>
      <c r="C22" s="93">
        <f t="shared" ref="C22:D22" si="7">C23+C24</f>
        <v>499380</v>
      </c>
      <c r="D22" s="93">
        <f t="shared" si="7"/>
        <v>524349</v>
      </c>
    </row>
    <row r="23" spans="1:4">
      <c r="A23" s="91" t="s">
        <v>658</v>
      </c>
      <c r="B23" s="94">
        <v>265600</v>
      </c>
      <c r="C23" s="94">
        <f>B23*1.05</f>
        <v>278880</v>
      </c>
      <c r="D23" s="94">
        <f>C23*1.05</f>
        <v>292824</v>
      </c>
    </row>
    <row r="24" spans="1:4">
      <c r="A24" s="91" t="s">
        <v>45</v>
      </c>
      <c r="B24" s="94">
        <f>310000-100000</f>
        <v>210000</v>
      </c>
      <c r="C24" s="94">
        <f>B24*1.05</f>
        <v>220500</v>
      </c>
      <c r="D24" s="94">
        <f>C24*1.05</f>
        <v>231525</v>
      </c>
    </row>
    <row r="25" spans="1:4">
      <c r="A25" s="91" t="s">
        <v>47</v>
      </c>
      <c r="B25" s="93">
        <f>B26+B27</f>
        <v>2156400</v>
      </c>
      <c r="C25" s="93">
        <f t="shared" ref="C25:D25" si="8">C26+C27</f>
        <v>2264220</v>
      </c>
      <c r="D25" s="93">
        <f t="shared" si="8"/>
        <v>2377431</v>
      </c>
    </row>
    <row r="26" spans="1:4">
      <c r="A26" s="91" t="s">
        <v>93</v>
      </c>
      <c r="B26" s="94">
        <f>602800+100000+500000</f>
        <v>1202800</v>
      </c>
      <c r="C26" s="94">
        <f>B26*1.05</f>
        <v>1262940</v>
      </c>
      <c r="D26" s="94">
        <f>C26*1.05</f>
        <v>1326087</v>
      </c>
    </row>
    <row r="27" spans="1:4">
      <c r="A27" s="91" t="s">
        <v>94</v>
      </c>
      <c r="B27" s="94">
        <v>953600</v>
      </c>
      <c r="C27" s="94">
        <f>B27*1.05</f>
        <v>1001280</v>
      </c>
      <c r="D27" s="94">
        <f>C27*1.05</f>
        <v>1051344</v>
      </c>
    </row>
    <row r="28" spans="1:4">
      <c r="A28" s="91" t="s">
        <v>49</v>
      </c>
      <c r="B28" s="93">
        <f>B29+B30</f>
        <v>2249600</v>
      </c>
      <c r="C28" s="93">
        <f t="shared" ref="C28:D28" si="9">C29+C30</f>
        <v>2362080</v>
      </c>
      <c r="D28" s="93">
        <f t="shared" si="9"/>
        <v>2480184</v>
      </c>
    </row>
    <row r="29" spans="1:4">
      <c r="A29" s="91" t="s">
        <v>166</v>
      </c>
      <c r="B29" s="94">
        <f>1999600+250000</f>
        <v>2249600</v>
      </c>
      <c r="C29" s="94">
        <f>B29*1.05</f>
        <v>2362080</v>
      </c>
      <c r="D29" s="94">
        <f>C29*1.05</f>
        <v>2480184</v>
      </c>
    </row>
    <row r="30" spans="1:4">
      <c r="A30" s="91" t="s">
        <v>96</v>
      </c>
      <c r="B30" s="94">
        <v>0</v>
      </c>
      <c r="C30" s="94">
        <f>B30*1.05</f>
        <v>0</v>
      </c>
      <c r="D30" s="94">
        <f>C30*1.05</f>
        <v>0</v>
      </c>
    </row>
    <row r="31" spans="1:4">
      <c r="A31" s="91" t="s">
        <v>97</v>
      </c>
      <c r="B31" s="93">
        <f>B32</f>
        <v>0</v>
      </c>
      <c r="C31" s="93">
        <f t="shared" ref="C31:D31" si="10">C32</f>
        <v>0</v>
      </c>
      <c r="D31" s="93">
        <f t="shared" si="10"/>
        <v>0</v>
      </c>
    </row>
    <row r="32" spans="1:4">
      <c r="A32" s="91" t="s">
        <v>98</v>
      </c>
      <c r="B32" s="94">
        <v>0</v>
      </c>
      <c r="C32" s="94">
        <f>B32*1.05</f>
        <v>0</v>
      </c>
      <c r="D32" s="94">
        <f>C32*1.05</f>
        <v>0</v>
      </c>
    </row>
    <row r="33" spans="1:4">
      <c r="A33" s="91" t="s">
        <v>55</v>
      </c>
      <c r="B33" s="93">
        <f>B34+B35+B36</f>
        <v>767730</v>
      </c>
      <c r="C33" s="93">
        <f t="shared" ref="C33:D33" si="11">C34+C35+C36</f>
        <v>806116.5</v>
      </c>
      <c r="D33" s="93">
        <f t="shared" si="11"/>
        <v>846422.32499999995</v>
      </c>
    </row>
    <row r="34" spans="1:4">
      <c r="A34" s="91" t="s">
        <v>99</v>
      </c>
      <c r="B34" s="94">
        <v>280000</v>
      </c>
      <c r="C34" s="94">
        <f>B34*1.05</f>
        <v>294000</v>
      </c>
      <c r="D34" s="94">
        <f>C34*1.05</f>
        <v>308700</v>
      </c>
    </row>
    <row r="35" spans="1:4">
      <c r="A35" s="91" t="s">
        <v>100</v>
      </c>
      <c r="B35" s="94">
        <v>220000</v>
      </c>
      <c r="C35" s="94">
        <f t="shared" ref="C35:D35" si="12">B35*1.05</f>
        <v>231000</v>
      </c>
      <c r="D35" s="94">
        <f t="shared" si="12"/>
        <v>242550</v>
      </c>
    </row>
    <row r="36" spans="1:4">
      <c r="A36" s="91" t="s">
        <v>101</v>
      </c>
      <c r="B36" s="94">
        <v>267730</v>
      </c>
      <c r="C36" s="94">
        <f t="shared" ref="C36:D36" si="13">B36*1.05</f>
        <v>281116.5</v>
      </c>
      <c r="D36" s="94">
        <f t="shared" si="13"/>
        <v>295172.32500000001</v>
      </c>
    </row>
    <row r="37" spans="1:4">
      <c r="A37" s="91" t="s">
        <v>58</v>
      </c>
      <c r="B37" s="93">
        <f>B38</f>
        <v>1589400</v>
      </c>
      <c r="C37" s="93">
        <f t="shared" ref="C37:D37" si="14">C38</f>
        <v>1668870</v>
      </c>
      <c r="D37" s="93">
        <f t="shared" si="14"/>
        <v>1752313.5</v>
      </c>
    </row>
    <row r="38" spans="1:4">
      <c r="A38" s="91" t="s">
        <v>102</v>
      </c>
      <c r="B38" s="94">
        <v>1589400</v>
      </c>
      <c r="C38" s="94">
        <f>B38*1.05</f>
        <v>1668870</v>
      </c>
      <c r="D38" s="94">
        <f>C38*1.05</f>
        <v>1752313.5</v>
      </c>
    </row>
    <row r="39" spans="1:4">
      <c r="A39" s="91" t="s">
        <v>60</v>
      </c>
      <c r="B39" s="93">
        <f>B40+B41+B42+B43+B44+B45+B46</f>
        <v>4949955</v>
      </c>
      <c r="C39" s="93">
        <f t="shared" ref="C39:D39" si="15">C40+C41+C42+C43+C44+C45+C46</f>
        <v>5197452.75</v>
      </c>
      <c r="D39" s="93">
        <f t="shared" si="15"/>
        <v>5457325.3875000002</v>
      </c>
    </row>
    <row r="40" spans="1:4">
      <c r="A40" s="91" t="s">
        <v>103</v>
      </c>
      <c r="B40" s="94">
        <v>0</v>
      </c>
      <c r="C40" s="94">
        <f>B40*1.05</f>
        <v>0</v>
      </c>
      <c r="D40" s="94">
        <f>C40*1.05</f>
        <v>0</v>
      </c>
    </row>
    <row r="41" spans="1:4">
      <c r="A41" s="91" t="s">
        <v>104</v>
      </c>
      <c r="B41" s="94">
        <v>102700</v>
      </c>
      <c r="C41" s="94">
        <f t="shared" ref="C41:D41" si="16">B41*1.05</f>
        <v>107835</v>
      </c>
      <c r="D41" s="94">
        <f t="shared" si="16"/>
        <v>113226.75</v>
      </c>
    </row>
    <row r="42" spans="1:4">
      <c r="A42" s="91" t="s">
        <v>105</v>
      </c>
      <c r="B42" s="94">
        <v>0</v>
      </c>
      <c r="C42" s="94">
        <f t="shared" ref="C42:D42" si="17">B42*1.05</f>
        <v>0</v>
      </c>
      <c r="D42" s="94">
        <f t="shared" si="17"/>
        <v>0</v>
      </c>
    </row>
    <row r="43" spans="1:4">
      <c r="A43" s="91" t="s">
        <v>659</v>
      </c>
      <c r="B43" s="94">
        <f>1000000-168115+58000</f>
        <v>889885</v>
      </c>
      <c r="C43" s="94">
        <f t="shared" ref="C43:D43" si="18">B43*1.05</f>
        <v>934379.25</v>
      </c>
      <c r="D43" s="94">
        <f t="shared" si="18"/>
        <v>981098.21250000002</v>
      </c>
    </row>
    <row r="44" spans="1:4">
      <c r="A44" s="91" t="s">
        <v>107</v>
      </c>
      <c r="B44" s="94">
        <f>3528674+22696</f>
        <v>3551370</v>
      </c>
      <c r="C44" s="94">
        <f t="shared" ref="C44:D44" si="19">B44*1.05</f>
        <v>3728938.5</v>
      </c>
      <c r="D44" s="94">
        <f t="shared" si="19"/>
        <v>3915385.4250000003</v>
      </c>
    </row>
    <row r="45" spans="1:4">
      <c r="A45" s="91" t="s">
        <v>108</v>
      </c>
      <c r="B45" s="94">
        <v>0</v>
      </c>
      <c r="C45" s="94">
        <f t="shared" ref="C45:D45" si="20">B45*1.05</f>
        <v>0</v>
      </c>
      <c r="D45" s="94">
        <f t="shared" si="20"/>
        <v>0</v>
      </c>
    </row>
    <row r="46" spans="1:4">
      <c r="A46" s="91" t="s">
        <v>109</v>
      </c>
      <c r="B46" s="94">
        <v>406000</v>
      </c>
      <c r="C46" s="94">
        <f t="shared" ref="C46:D46" si="21">B46*1.05</f>
        <v>426300</v>
      </c>
      <c r="D46" s="94">
        <f t="shared" si="21"/>
        <v>447615</v>
      </c>
    </row>
    <row r="47" spans="1:4">
      <c r="A47" s="91" t="s">
        <v>64</v>
      </c>
      <c r="B47" s="93">
        <f>B48</f>
        <v>1000000</v>
      </c>
      <c r="C47" s="93">
        <f t="shared" ref="C47:D47" si="22">C48</f>
        <v>1050000</v>
      </c>
      <c r="D47" s="93">
        <f t="shared" si="22"/>
        <v>1102500</v>
      </c>
    </row>
    <row r="48" spans="1:4">
      <c r="A48" s="91" t="s">
        <v>65</v>
      </c>
      <c r="B48" s="94">
        <v>1000000</v>
      </c>
      <c r="C48" s="94">
        <f>B48*1.05</f>
        <v>1050000</v>
      </c>
      <c r="D48" s="94">
        <f>C48*1.05</f>
        <v>1102500</v>
      </c>
    </row>
    <row r="49" spans="1:5">
      <c r="A49" s="91" t="s">
        <v>112</v>
      </c>
      <c r="B49" s="93">
        <f>B50+B51</f>
        <v>100000</v>
      </c>
      <c r="C49" s="93">
        <f t="shared" ref="C49:D49" si="23">C50+C51</f>
        <v>105000</v>
      </c>
      <c r="D49" s="93">
        <f t="shared" si="23"/>
        <v>110250</v>
      </c>
    </row>
    <row r="50" spans="1:5">
      <c r="A50" s="91" t="s">
        <v>113</v>
      </c>
      <c r="B50" s="94">
        <v>0</v>
      </c>
      <c r="C50" s="94">
        <f>B50*1.05</f>
        <v>0</v>
      </c>
      <c r="D50" s="94">
        <f>C50*1.05</f>
        <v>0</v>
      </c>
    </row>
    <row r="51" spans="1:5">
      <c r="A51" s="91" t="s">
        <v>67</v>
      </c>
      <c r="B51" s="94">
        <v>100000</v>
      </c>
      <c r="C51" s="94">
        <f>B51*1.05</f>
        <v>105000</v>
      </c>
      <c r="D51" s="94">
        <f>C51*1.05</f>
        <v>110250</v>
      </c>
    </row>
    <row r="52" spans="1:5">
      <c r="A52" s="91" t="s">
        <v>115</v>
      </c>
      <c r="B52" s="93">
        <f>B53+B54</f>
        <v>1400000</v>
      </c>
      <c r="C52" s="93">
        <f t="shared" ref="C52:D52" si="24">C53+C54</f>
        <v>1470000</v>
      </c>
      <c r="D52" s="93">
        <f t="shared" si="24"/>
        <v>1543500</v>
      </c>
    </row>
    <row r="53" spans="1:5">
      <c r="A53" s="91" t="s">
        <v>69</v>
      </c>
      <c r="B53" s="94">
        <v>0</v>
      </c>
      <c r="C53" s="94">
        <f>B53*1.05</f>
        <v>0</v>
      </c>
      <c r="D53" s="94">
        <f>C53*1.05</f>
        <v>0</v>
      </c>
    </row>
    <row r="54" spans="1:5">
      <c r="A54" s="91" t="s">
        <v>70</v>
      </c>
      <c r="B54" s="94">
        <v>1400000</v>
      </c>
      <c r="C54" s="94">
        <f>B54*1.05</f>
        <v>1470000</v>
      </c>
      <c r="D54" s="94">
        <f>C54*1.05</f>
        <v>1543500</v>
      </c>
    </row>
    <row r="55" spans="1:5" ht="31.5" customHeight="1">
      <c r="A55" s="91" t="s">
        <v>3</v>
      </c>
      <c r="B55" s="93">
        <f>B52+B49+B47+B39+B37+B33+B31+B28+B25+B22+B19+B13+B9+B6+B4</f>
        <v>21815312</v>
      </c>
      <c r="C55" s="93">
        <f t="shared" ref="C55:D55" si="25">C52+C49+C47+C39+C37+C33+C31+C28+C25+C22+C19+C13+C9+C6+C4</f>
        <v>22906077.600000001</v>
      </c>
      <c r="D55" s="93">
        <f t="shared" si="25"/>
        <v>24051381.479999997</v>
      </c>
    </row>
    <row r="56" spans="1:5">
      <c r="A56" s="91" t="s">
        <v>4</v>
      </c>
      <c r="B56" s="94"/>
      <c r="C56" s="94"/>
      <c r="D56" s="94"/>
    </row>
    <row r="57" spans="1:5">
      <c r="A57" s="91" t="s">
        <v>660</v>
      </c>
      <c r="B57" s="94">
        <v>4500000</v>
      </c>
      <c r="C57" s="94">
        <f>B57*1.05</f>
        <v>4725000</v>
      </c>
      <c r="D57" s="94">
        <f>C57*1.05</f>
        <v>4961250</v>
      </c>
    </row>
    <row r="58" spans="1:5">
      <c r="A58" s="91" t="s">
        <v>661</v>
      </c>
      <c r="B58" s="94">
        <f>6500000+1994980-4000000</f>
        <v>4494980</v>
      </c>
      <c r="C58" s="94">
        <f t="shared" ref="C58:D58" si="26">B58*1.05</f>
        <v>4719729</v>
      </c>
      <c r="D58" s="94">
        <f t="shared" si="26"/>
        <v>4955715.45</v>
      </c>
      <c r="E58" s="432">
        <v>4000000</v>
      </c>
    </row>
    <row r="59" spans="1:5">
      <c r="A59" s="91" t="s">
        <v>662</v>
      </c>
      <c r="B59" s="94">
        <v>40000000</v>
      </c>
      <c r="C59" s="94">
        <f t="shared" ref="C59:D59" si="27">B59*1.05</f>
        <v>42000000</v>
      </c>
      <c r="D59" s="94">
        <f t="shared" si="27"/>
        <v>44100000</v>
      </c>
    </row>
    <row r="60" spans="1:5">
      <c r="A60" s="91" t="s">
        <v>119</v>
      </c>
      <c r="B60" s="94">
        <f>-5000000+14599190</f>
        <v>9599190</v>
      </c>
      <c r="C60" s="94">
        <f t="shared" ref="C60:D60" si="28">B60*1.05</f>
        <v>10079149.5</v>
      </c>
      <c r="D60" s="94">
        <f t="shared" si="28"/>
        <v>10583106.975</v>
      </c>
      <c r="E60" s="432">
        <v>5000000</v>
      </c>
    </row>
    <row r="61" spans="1:5">
      <c r="A61" s="91" t="s">
        <v>663</v>
      </c>
      <c r="B61" s="94">
        <f>'Ward based rojects'!F11</f>
        <v>19198635.457713321</v>
      </c>
      <c r="C61" s="94">
        <f t="shared" ref="C61:D62" si="29">B61*1.05</f>
        <v>20158567.230598986</v>
      </c>
      <c r="D61" s="94">
        <f t="shared" si="29"/>
        <v>21166495.592128936</v>
      </c>
    </row>
    <row r="62" spans="1:5">
      <c r="A62" s="91" t="s">
        <v>168</v>
      </c>
      <c r="B62" s="94">
        <v>47921042</v>
      </c>
      <c r="C62" s="94">
        <v>0</v>
      </c>
      <c r="D62" s="94">
        <f t="shared" si="29"/>
        <v>0</v>
      </c>
    </row>
    <row r="63" spans="1:5">
      <c r="A63" s="91" t="s">
        <v>664</v>
      </c>
      <c r="B63" s="94">
        <f>-12000000+12000000</f>
        <v>0</v>
      </c>
      <c r="C63" s="94">
        <f t="shared" ref="C63:D63" si="30">B63*1.05</f>
        <v>0</v>
      </c>
      <c r="D63" s="94">
        <f t="shared" si="30"/>
        <v>0</v>
      </c>
      <c r="E63" s="432">
        <v>12000000</v>
      </c>
    </row>
    <row r="64" spans="1:5">
      <c r="A64" s="91" t="s">
        <v>5</v>
      </c>
      <c r="B64" s="93">
        <f>SUM(B57:B63)</f>
        <v>125713847.45771332</v>
      </c>
      <c r="C64" s="93">
        <f t="shared" ref="C64:D64" si="31">SUM(C57:C63)</f>
        <v>81682445.730598986</v>
      </c>
      <c r="D64" s="93">
        <f t="shared" si="31"/>
        <v>85766568.017128944</v>
      </c>
    </row>
    <row r="65" spans="1:4">
      <c r="A65" s="91" t="s">
        <v>6</v>
      </c>
      <c r="B65" s="93">
        <f>B64+B55</f>
        <v>147529159.45771331</v>
      </c>
      <c r="C65" s="93">
        <f t="shared" ref="C65:D65" si="32">C64+C55</f>
        <v>104588523.33059898</v>
      </c>
      <c r="D65" s="93">
        <f t="shared" si="32"/>
        <v>109817949.49712893</v>
      </c>
    </row>
    <row r="67" spans="1:4" ht="31">
      <c r="A67" s="95" t="s">
        <v>79</v>
      </c>
      <c r="B67" s="96" t="s">
        <v>7</v>
      </c>
      <c r="C67" s="96" t="s">
        <v>8</v>
      </c>
      <c r="D67" s="96" t="s">
        <v>9</v>
      </c>
    </row>
    <row r="68" spans="1:4">
      <c r="A68" s="97" t="s">
        <v>80</v>
      </c>
      <c r="B68" s="104">
        <v>0</v>
      </c>
      <c r="C68" s="98">
        <f t="shared" ref="C68:D68" si="33">C69</f>
        <v>0</v>
      </c>
      <c r="D68" s="99">
        <f t="shared" si="33"/>
        <v>0</v>
      </c>
    </row>
    <row r="69" spans="1:4">
      <c r="A69" s="100" t="s">
        <v>81</v>
      </c>
      <c r="B69" s="104">
        <v>0</v>
      </c>
      <c r="C69" s="101">
        <v>0</v>
      </c>
      <c r="D69" s="102">
        <v>0</v>
      </c>
    </row>
    <row r="70" spans="1:4">
      <c r="A70" s="97" t="s">
        <v>29</v>
      </c>
      <c r="B70" s="113">
        <f>B71+B72</f>
        <v>94000</v>
      </c>
      <c r="C70" s="98">
        <f t="shared" ref="C70:D70" si="34">SUM(C71:C72)</f>
        <v>98700</v>
      </c>
      <c r="D70" s="99">
        <f t="shared" si="34"/>
        <v>103635</v>
      </c>
    </row>
    <row r="71" spans="1:4">
      <c r="A71" s="100" t="s">
        <v>82</v>
      </c>
      <c r="B71" s="104">
        <v>60000</v>
      </c>
      <c r="C71" s="101">
        <f>B71*1.05</f>
        <v>63000</v>
      </c>
      <c r="D71" s="102">
        <f>C71*1.05</f>
        <v>66150</v>
      </c>
    </row>
    <row r="72" spans="1:4">
      <c r="A72" s="100" t="s">
        <v>83</v>
      </c>
      <c r="B72" s="104">
        <v>34000</v>
      </c>
      <c r="C72" s="101">
        <f>B72*1.05</f>
        <v>35700</v>
      </c>
      <c r="D72" s="102">
        <f>C72*1.05</f>
        <v>37485</v>
      </c>
    </row>
    <row r="73" spans="1:4">
      <c r="A73" s="97" t="s">
        <v>32</v>
      </c>
      <c r="B73" s="113">
        <f>B74+B75+B76</f>
        <v>220000</v>
      </c>
      <c r="C73" s="98">
        <f t="shared" ref="C73:D73" si="35">SUM(C74:C76)</f>
        <v>231000</v>
      </c>
      <c r="D73" s="99">
        <f t="shared" si="35"/>
        <v>242550</v>
      </c>
    </row>
    <row r="74" spans="1:4" ht="31">
      <c r="A74" s="100" t="s">
        <v>84</v>
      </c>
      <c r="B74" s="104">
        <v>120000</v>
      </c>
      <c r="C74" s="103">
        <f>B74*1.05</f>
        <v>126000</v>
      </c>
      <c r="D74" s="104">
        <f>C74*1.05</f>
        <v>132300</v>
      </c>
    </row>
    <row r="75" spans="1:4">
      <c r="A75" s="100" t="s">
        <v>85</v>
      </c>
      <c r="B75" s="104">
        <v>100000</v>
      </c>
      <c r="C75" s="103">
        <f t="shared" ref="C75:D76" si="36">B75*1.05</f>
        <v>105000</v>
      </c>
      <c r="D75" s="104">
        <f t="shared" si="36"/>
        <v>110250</v>
      </c>
    </row>
    <row r="76" spans="1:4">
      <c r="A76" s="100" t="s">
        <v>35</v>
      </c>
      <c r="B76" s="104">
        <v>0</v>
      </c>
      <c r="C76" s="103">
        <f t="shared" si="36"/>
        <v>0</v>
      </c>
      <c r="D76" s="104">
        <f t="shared" si="36"/>
        <v>0</v>
      </c>
    </row>
    <row r="77" spans="1:4" ht="31">
      <c r="A77" s="97" t="s">
        <v>36</v>
      </c>
      <c r="B77" s="113">
        <f>B78+B79+B80+B81+B82</f>
        <v>5982698</v>
      </c>
      <c r="C77" s="98">
        <f t="shared" ref="C77:D77" si="37">SUM(C78:C82)</f>
        <v>6281832.9000000004</v>
      </c>
      <c r="D77" s="99">
        <f t="shared" si="37"/>
        <v>6595924.5449999999</v>
      </c>
    </row>
    <row r="78" spans="1:4" ht="31">
      <c r="A78" s="100" t="s">
        <v>86</v>
      </c>
      <c r="B78" s="104">
        <v>550000</v>
      </c>
      <c r="C78" s="103">
        <f>B78*1.05</f>
        <v>577500</v>
      </c>
      <c r="D78" s="104">
        <f>C78*1.05</f>
        <v>606375</v>
      </c>
    </row>
    <row r="79" spans="1:4">
      <c r="A79" s="100" t="s">
        <v>87</v>
      </c>
      <c r="B79" s="104">
        <v>310000</v>
      </c>
      <c r="C79" s="103">
        <f t="shared" ref="C79:D82" si="38">B79*1.05</f>
        <v>325500</v>
      </c>
      <c r="D79" s="104">
        <f t="shared" si="38"/>
        <v>341775</v>
      </c>
    </row>
    <row r="80" spans="1:4">
      <c r="A80" s="100" t="s">
        <v>88</v>
      </c>
      <c r="B80" s="104">
        <v>2970498</v>
      </c>
      <c r="C80" s="103">
        <f t="shared" si="38"/>
        <v>3119022.9</v>
      </c>
      <c r="D80" s="104">
        <f t="shared" si="38"/>
        <v>3274974.0449999999</v>
      </c>
    </row>
    <row r="81" spans="1:4">
      <c r="A81" s="100" t="s">
        <v>39</v>
      </c>
      <c r="B81" s="104">
        <v>868400</v>
      </c>
      <c r="C81" s="103">
        <f t="shared" si="38"/>
        <v>911820</v>
      </c>
      <c r="D81" s="104">
        <f t="shared" si="38"/>
        <v>957411</v>
      </c>
    </row>
    <row r="82" spans="1:4">
      <c r="A82" s="100" t="s">
        <v>40</v>
      </c>
      <c r="B82" s="104">
        <v>1283800</v>
      </c>
      <c r="C82" s="103">
        <f t="shared" si="38"/>
        <v>1347990</v>
      </c>
      <c r="D82" s="104">
        <f t="shared" si="38"/>
        <v>1415389.5</v>
      </c>
    </row>
    <row r="83" spans="1:4" ht="31">
      <c r="A83" s="97" t="s">
        <v>91</v>
      </c>
      <c r="B83" s="113">
        <f>B84+B85</f>
        <v>210000</v>
      </c>
      <c r="C83" s="98">
        <f t="shared" ref="C83:D83" si="39">SUM(C84:C85)</f>
        <v>220500</v>
      </c>
      <c r="D83" s="99">
        <f t="shared" si="39"/>
        <v>231525</v>
      </c>
    </row>
    <row r="84" spans="1:4" ht="31">
      <c r="A84" s="100" t="s">
        <v>92</v>
      </c>
      <c r="B84" s="104">
        <v>0</v>
      </c>
      <c r="C84" s="103">
        <f>B84*1.05</f>
        <v>0</v>
      </c>
      <c r="D84" s="104">
        <f>C84*1.05</f>
        <v>0</v>
      </c>
    </row>
    <row r="85" spans="1:4" ht="31">
      <c r="A85" s="100" t="s">
        <v>45</v>
      </c>
      <c r="B85" s="104">
        <v>210000</v>
      </c>
      <c r="C85" s="103">
        <f>B85*1.05</f>
        <v>220500</v>
      </c>
      <c r="D85" s="104">
        <f>C85*1.05</f>
        <v>231525</v>
      </c>
    </row>
    <row r="86" spans="1:4">
      <c r="A86" s="97" t="s">
        <v>47</v>
      </c>
      <c r="B86" s="113">
        <f>B87+B88</f>
        <v>1664000</v>
      </c>
      <c r="C86" s="98">
        <f t="shared" ref="C86:D86" si="40">SUM(C87:C88)</f>
        <v>1747200</v>
      </c>
      <c r="D86" s="99">
        <f t="shared" si="40"/>
        <v>1834560</v>
      </c>
    </row>
    <row r="87" spans="1:4">
      <c r="A87" s="100" t="s">
        <v>93</v>
      </c>
      <c r="B87" s="104">
        <v>784000</v>
      </c>
      <c r="C87" s="103">
        <f>B87*1.05</f>
        <v>823200</v>
      </c>
      <c r="D87" s="104">
        <f>C87*1.05</f>
        <v>864360</v>
      </c>
    </row>
    <row r="88" spans="1:4">
      <c r="A88" s="100" t="s">
        <v>94</v>
      </c>
      <c r="B88" s="104">
        <v>880000</v>
      </c>
      <c r="C88" s="103">
        <f>B88*1.05</f>
        <v>924000</v>
      </c>
      <c r="D88" s="104">
        <f>C88*1.05</f>
        <v>970200</v>
      </c>
    </row>
    <row r="89" spans="1:4">
      <c r="A89" s="97" t="s">
        <v>49</v>
      </c>
      <c r="B89" s="113">
        <f>B90</f>
        <v>1322800</v>
      </c>
      <c r="C89" s="113">
        <f t="shared" ref="C89:D89" si="41">C90</f>
        <v>1388940</v>
      </c>
      <c r="D89" s="113">
        <f t="shared" si="41"/>
        <v>1458387</v>
      </c>
    </row>
    <row r="90" spans="1:4">
      <c r="A90" s="100" t="s">
        <v>95</v>
      </c>
      <c r="B90" s="104">
        <v>1322800</v>
      </c>
      <c r="C90" s="103">
        <f>B90*1.05</f>
        <v>1388940</v>
      </c>
      <c r="D90" s="104">
        <f>C90*1.05</f>
        <v>1458387</v>
      </c>
    </row>
    <row r="91" spans="1:4" ht="31">
      <c r="A91" s="97" t="s">
        <v>55</v>
      </c>
      <c r="B91" s="113">
        <f>B92+B93+B94</f>
        <v>1703900</v>
      </c>
      <c r="C91" s="98">
        <f t="shared" ref="C91:D91" si="42">SUM(C92:C94)</f>
        <v>1789095</v>
      </c>
      <c r="D91" s="99">
        <f t="shared" si="42"/>
        <v>1878549.75</v>
      </c>
    </row>
    <row r="92" spans="1:4">
      <c r="A92" s="100" t="s">
        <v>99</v>
      </c>
      <c r="B92" s="104">
        <v>674400</v>
      </c>
      <c r="C92" s="103">
        <f>B92*1.05</f>
        <v>708120</v>
      </c>
      <c r="D92" s="104">
        <f>C92*1.05</f>
        <v>743526</v>
      </c>
    </row>
    <row r="93" spans="1:4" ht="31">
      <c r="A93" s="100" t="s">
        <v>100</v>
      </c>
      <c r="B93" s="104">
        <v>409500</v>
      </c>
      <c r="C93" s="103">
        <f t="shared" ref="C93:D94" si="43">B93*1.05</f>
        <v>429975</v>
      </c>
      <c r="D93" s="104">
        <f t="shared" si="43"/>
        <v>451473.75</v>
      </c>
    </row>
    <row r="94" spans="1:4">
      <c r="A94" s="100" t="s">
        <v>101</v>
      </c>
      <c r="B94" s="104">
        <v>620000</v>
      </c>
      <c r="C94" s="103">
        <f t="shared" si="43"/>
        <v>651000</v>
      </c>
      <c r="D94" s="104">
        <f t="shared" si="43"/>
        <v>683550</v>
      </c>
    </row>
    <row r="95" spans="1:4">
      <c r="A95" s="97" t="s">
        <v>58</v>
      </c>
      <c r="B95" s="113">
        <f>B96</f>
        <v>1004000</v>
      </c>
      <c r="C95" s="98">
        <f t="shared" ref="C95:D95" si="44">C96</f>
        <v>1054200</v>
      </c>
      <c r="D95" s="99">
        <f t="shared" si="44"/>
        <v>1106910</v>
      </c>
    </row>
    <row r="96" spans="1:4">
      <c r="A96" s="100" t="s">
        <v>102</v>
      </c>
      <c r="B96" s="104">
        <v>1004000</v>
      </c>
      <c r="C96" s="103">
        <f>B96*1.05</f>
        <v>1054200</v>
      </c>
      <c r="D96" s="104">
        <f>1.05*C96</f>
        <v>1106910</v>
      </c>
    </row>
    <row r="97" spans="1:4">
      <c r="A97" s="97" t="s">
        <v>60</v>
      </c>
      <c r="B97" s="113">
        <f>SUM(B98:B105)</f>
        <v>42074700</v>
      </c>
      <c r="C97" s="113">
        <f t="shared" ref="C97:D97" si="45">SUM(C98:C105)</f>
        <v>44178435</v>
      </c>
      <c r="D97" s="113">
        <f t="shared" si="45"/>
        <v>46387356.75</v>
      </c>
    </row>
    <row r="98" spans="1:4">
      <c r="A98" s="100" t="s">
        <v>103</v>
      </c>
      <c r="B98" s="104">
        <v>0</v>
      </c>
      <c r="C98" s="103">
        <f>B98*1.05</f>
        <v>0</v>
      </c>
      <c r="D98" s="104">
        <f>C98*1.05</f>
        <v>0</v>
      </c>
    </row>
    <row r="99" spans="1:4">
      <c r="A99" s="100" t="s">
        <v>104</v>
      </c>
      <c r="B99" s="104">
        <v>71200</v>
      </c>
      <c r="C99" s="103">
        <f t="shared" ref="C99:D105" si="46">B99*1.05</f>
        <v>74760</v>
      </c>
      <c r="D99" s="104">
        <f t="shared" si="46"/>
        <v>78498</v>
      </c>
    </row>
    <row r="100" spans="1:4" ht="31">
      <c r="A100" s="100" t="s">
        <v>105</v>
      </c>
      <c r="B100" s="104">
        <v>0</v>
      </c>
      <c r="C100" s="103">
        <f t="shared" si="46"/>
        <v>0</v>
      </c>
      <c r="D100" s="104">
        <f t="shared" si="46"/>
        <v>0</v>
      </c>
    </row>
    <row r="101" spans="1:4">
      <c r="A101" s="100" t="s">
        <v>107</v>
      </c>
      <c r="B101" s="104">
        <v>2303500</v>
      </c>
      <c r="C101" s="103">
        <f t="shared" si="46"/>
        <v>2418675</v>
      </c>
      <c r="D101" s="104">
        <f t="shared" si="46"/>
        <v>2539608.75</v>
      </c>
    </row>
    <row r="102" spans="1:4">
      <c r="A102" s="100" t="s">
        <v>108</v>
      </c>
      <c r="B102" s="104">
        <v>0</v>
      </c>
      <c r="C102" s="103">
        <f t="shared" si="46"/>
        <v>0</v>
      </c>
      <c r="D102" s="104">
        <f t="shared" si="46"/>
        <v>0</v>
      </c>
    </row>
    <row r="103" spans="1:4">
      <c r="A103" s="100" t="s">
        <v>109</v>
      </c>
      <c r="B103" s="104">
        <v>200000</v>
      </c>
      <c r="C103" s="103">
        <f>B103*1.05</f>
        <v>210000</v>
      </c>
      <c r="D103" s="104">
        <f t="shared" si="46"/>
        <v>220500</v>
      </c>
    </row>
    <row r="104" spans="1:4">
      <c r="A104" s="105" t="s">
        <v>110</v>
      </c>
      <c r="B104" s="106">
        <v>17500000</v>
      </c>
      <c r="C104" s="114">
        <f>B104*1.05</f>
        <v>18375000</v>
      </c>
      <c r="D104" s="106">
        <f t="shared" si="46"/>
        <v>19293750</v>
      </c>
    </row>
    <row r="105" spans="1:4">
      <c r="A105" s="100" t="s">
        <v>111</v>
      </c>
      <c r="B105" s="104">
        <v>22000000</v>
      </c>
      <c r="C105" s="103">
        <f>B105*1.05</f>
        <v>23100000</v>
      </c>
      <c r="D105" s="104">
        <f t="shared" si="46"/>
        <v>24255000</v>
      </c>
    </row>
    <row r="106" spans="1:4" ht="31">
      <c r="A106" s="97" t="s">
        <v>64</v>
      </c>
      <c r="B106" s="113">
        <v>650000</v>
      </c>
      <c r="C106" s="98">
        <f t="shared" ref="C106:D106" si="47">C107</f>
        <v>682500</v>
      </c>
      <c r="D106" s="99">
        <f t="shared" si="47"/>
        <v>716625</v>
      </c>
    </row>
    <row r="107" spans="1:4">
      <c r="A107" s="100" t="s">
        <v>65</v>
      </c>
      <c r="B107" s="104">
        <v>650000</v>
      </c>
      <c r="C107" s="103">
        <f>B107*1.05</f>
        <v>682500</v>
      </c>
      <c r="D107" s="104">
        <f>C107*1.05</f>
        <v>716625</v>
      </c>
    </row>
    <row r="108" spans="1:4">
      <c r="A108" s="97" t="s">
        <v>112</v>
      </c>
      <c r="B108" s="113">
        <f>SUM(B109)</f>
        <v>1800000</v>
      </c>
      <c r="C108" s="113">
        <f t="shared" ref="C108:D108" si="48">SUM(C109)</f>
        <v>1890000</v>
      </c>
      <c r="D108" s="113">
        <f t="shared" si="48"/>
        <v>1984500</v>
      </c>
    </row>
    <row r="109" spans="1:4">
      <c r="A109" s="100" t="s">
        <v>114</v>
      </c>
      <c r="B109" s="104">
        <f>2100000-300000</f>
        <v>1800000</v>
      </c>
      <c r="C109" s="103">
        <f t="shared" ref="C109:D109" si="49">B109*1.05</f>
        <v>1890000</v>
      </c>
      <c r="D109" s="104">
        <f t="shared" si="49"/>
        <v>1984500</v>
      </c>
    </row>
    <row r="110" spans="1:4" ht="31">
      <c r="A110" s="97" t="s">
        <v>115</v>
      </c>
      <c r="B110" s="113">
        <f>B111+B112</f>
        <v>400000</v>
      </c>
      <c r="C110" s="98">
        <f t="shared" ref="C110:D110" si="50">C111+C112</f>
        <v>420000</v>
      </c>
      <c r="D110" s="99">
        <f t="shared" si="50"/>
        <v>441000</v>
      </c>
    </row>
    <row r="111" spans="1:4">
      <c r="A111" s="100" t="s">
        <v>69</v>
      </c>
      <c r="B111" s="104">
        <v>0</v>
      </c>
      <c r="C111" s="103">
        <f>B111*1.05</f>
        <v>0</v>
      </c>
      <c r="D111" s="104">
        <f>C111*1.05</f>
        <v>0</v>
      </c>
    </row>
    <row r="112" spans="1:4" ht="31">
      <c r="A112" s="100" t="s">
        <v>116</v>
      </c>
      <c r="B112" s="104">
        <v>400000</v>
      </c>
      <c r="C112" s="103">
        <f>B112*1.05</f>
        <v>420000</v>
      </c>
      <c r="D112" s="104">
        <f>C112*1.05</f>
        <v>441000</v>
      </c>
    </row>
    <row r="113" spans="1:5">
      <c r="A113" s="107" t="s">
        <v>3</v>
      </c>
      <c r="B113" s="113">
        <f>B110+B108+B106+B97+B95+B91+B89+B86+B83+B77+B73+B70</f>
        <v>57126098</v>
      </c>
      <c r="C113" s="115">
        <v>39621927</v>
      </c>
      <c r="D113" s="115">
        <v>39621927</v>
      </c>
    </row>
    <row r="114" spans="1:5">
      <c r="A114" s="97" t="s">
        <v>4</v>
      </c>
      <c r="B114" s="104"/>
      <c r="C114" s="103"/>
      <c r="D114" s="108"/>
    </row>
    <row r="115" spans="1:5">
      <c r="A115" s="100" t="s">
        <v>117</v>
      </c>
      <c r="B115" s="104">
        <v>297400190</v>
      </c>
      <c r="C115" s="103">
        <f>B115*1.05</f>
        <v>312270199.5</v>
      </c>
      <c r="D115" s="104">
        <f>C115*1.05</f>
        <v>327883709.47500002</v>
      </c>
    </row>
    <row r="116" spans="1:5">
      <c r="A116" s="100" t="s">
        <v>118</v>
      </c>
      <c r="B116" s="104">
        <f>-36000000+99357987-10000000</f>
        <v>53357987</v>
      </c>
      <c r="C116" s="103">
        <f t="shared" ref="C116:D118" si="51">B116*1.05</f>
        <v>56025886.350000001</v>
      </c>
      <c r="D116" s="104">
        <f t="shared" si="51"/>
        <v>58827180.667500004</v>
      </c>
      <c r="E116" s="432">
        <v>36000000</v>
      </c>
    </row>
    <row r="117" spans="1:5">
      <c r="A117" s="100" t="s">
        <v>119</v>
      </c>
      <c r="B117" s="104">
        <v>4000000</v>
      </c>
      <c r="C117" s="103">
        <f t="shared" si="51"/>
        <v>4200000</v>
      </c>
      <c r="D117" s="104">
        <f t="shared" si="51"/>
        <v>4410000</v>
      </c>
    </row>
    <row r="118" spans="1:5">
      <c r="A118" s="100" t="s">
        <v>120</v>
      </c>
      <c r="B118" s="104">
        <v>1000000</v>
      </c>
      <c r="C118" s="103">
        <f t="shared" si="51"/>
        <v>1050000</v>
      </c>
      <c r="D118" s="104">
        <f t="shared" si="51"/>
        <v>1102500</v>
      </c>
    </row>
    <row r="119" spans="1:5">
      <c r="A119" s="97" t="s">
        <v>5</v>
      </c>
      <c r="B119" s="113">
        <f>SUM(B115:B118)</f>
        <v>355758177</v>
      </c>
      <c r="C119" s="109">
        <f t="shared" ref="C119:D119" si="52">SUM(C115:C118)</f>
        <v>373546085.85000002</v>
      </c>
      <c r="D119" s="110">
        <f t="shared" si="52"/>
        <v>392223390.14250004</v>
      </c>
    </row>
    <row r="120" spans="1:5">
      <c r="A120" s="97" t="s">
        <v>6</v>
      </c>
      <c r="B120" s="113">
        <f>B119+B113</f>
        <v>412884275</v>
      </c>
      <c r="C120" s="113">
        <f t="shared" ref="C120:D120" si="53">C119+C113</f>
        <v>413168012.85000002</v>
      </c>
      <c r="D120" s="113">
        <f t="shared" si="53"/>
        <v>431845317.14250004</v>
      </c>
    </row>
    <row r="122" spans="1:5" ht="46.5">
      <c r="A122" s="116" t="s">
        <v>10</v>
      </c>
      <c r="B122" s="117" t="s">
        <v>11</v>
      </c>
      <c r="C122" s="118" t="s">
        <v>12</v>
      </c>
      <c r="D122" s="118" t="s">
        <v>13</v>
      </c>
    </row>
    <row r="123" spans="1:5">
      <c r="A123" s="733" t="s">
        <v>14</v>
      </c>
      <c r="B123" s="733"/>
      <c r="C123" s="733"/>
      <c r="D123" s="733"/>
    </row>
    <row r="124" spans="1:5">
      <c r="A124" s="119" t="s">
        <v>15</v>
      </c>
      <c r="B124" s="120">
        <f t="shared" ref="B124" si="54">SUM(B125:B126)</f>
        <v>22960602</v>
      </c>
      <c r="C124" s="121">
        <f>B124*1.05</f>
        <v>24108632.100000001</v>
      </c>
      <c r="D124" s="121">
        <f>C124*1.05</f>
        <v>25314063.705000002</v>
      </c>
    </row>
    <row r="125" spans="1:5">
      <c r="A125" s="122" t="s">
        <v>16</v>
      </c>
      <c r="B125" s="123">
        <v>22960602</v>
      </c>
      <c r="C125" s="124">
        <f>B125*1.05</f>
        <v>24108632.100000001</v>
      </c>
      <c r="D125" s="124">
        <f>C125*1.05</f>
        <v>25314063.705000002</v>
      </c>
    </row>
    <row r="126" spans="1:5">
      <c r="A126" s="125" t="s">
        <v>17</v>
      </c>
      <c r="B126" s="123">
        <v>0</v>
      </c>
      <c r="C126" s="124"/>
      <c r="D126" s="126">
        <f t="shared" ref="D126:D172" si="55">+B126+C126</f>
        <v>0</v>
      </c>
    </row>
    <row r="127" spans="1:5" ht="31">
      <c r="A127" s="127" t="s">
        <v>18</v>
      </c>
      <c r="B127" s="120">
        <f>B128+B129+B130</f>
        <v>440262</v>
      </c>
      <c r="C127" s="128">
        <f t="shared" ref="C127:D127" si="56">C128+C129+C130</f>
        <v>462275.1</v>
      </c>
      <c r="D127" s="128">
        <f t="shared" si="56"/>
        <v>485388.85499999998</v>
      </c>
    </row>
    <row r="128" spans="1:5">
      <c r="A128" s="125" t="s">
        <v>19</v>
      </c>
      <c r="B128" s="123">
        <v>267799</v>
      </c>
      <c r="C128" s="124">
        <f>B128*1.05</f>
        <v>281188.95</v>
      </c>
      <c r="D128" s="124">
        <f>C128*1.05</f>
        <v>295248.39750000002</v>
      </c>
    </row>
    <row r="129" spans="1:4">
      <c r="A129" s="125" t="s">
        <v>20</v>
      </c>
      <c r="B129" s="123"/>
      <c r="C129" s="124">
        <f t="shared" ref="C129:D130" si="57">B129*1.05</f>
        <v>0</v>
      </c>
      <c r="D129" s="126"/>
    </row>
    <row r="130" spans="1:4">
      <c r="A130" s="125" t="s">
        <v>21</v>
      </c>
      <c r="B130" s="123">
        <v>172463</v>
      </c>
      <c r="C130" s="124">
        <f t="shared" si="57"/>
        <v>181086.15</v>
      </c>
      <c r="D130" s="124">
        <f t="shared" si="57"/>
        <v>190140.45749999999</v>
      </c>
    </row>
    <row r="131" spans="1:4" ht="31">
      <c r="A131" s="127" t="s">
        <v>22</v>
      </c>
      <c r="B131" s="120">
        <f>B132+B133+B134</f>
        <v>3532127</v>
      </c>
      <c r="C131" s="129">
        <f>C132+C133+C134</f>
        <v>3708733.35</v>
      </c>
      <c r="D131" s="130"/>
    </row>
    <row r="132" spans="1:4" ht="31">
      <c r="A132" s="125" t="s">
        <v>23</v>
      </c>
      <c r="B132" s="123">
        <v>153720</v>
      </c>
      <c r="C132" s="124">
        <f>B132*1.05</f>
        <v>161406</v>
      </c>
      <c r="D132" s="124">
        <f>C132*1.05</f>
        <v>169476.30000000002</v>
      </c>
    </row>
    <row r="133" spans="1:4" ht="31">
      <c r="A133" s="125" t="s">
        <v>24</v>
      </c>
      <c r="B133" s="123">
        <v>313873</v>
      </c>
      <c r="C133" s="124">
        <f t="shared" ref="C133:D134" si="58">B133*1.05</f>
        <v>329566.65000000002</v>
      </c>
      <c r="D133" s="124">
        <f t="shared" si="58"/>
        <v>346044.98250000004</v>
      </c>
    </row>
    <row r="134" spans="1:4" ht="31">
      <c r="A134" s="125" t="s">
        <v>25</v>
      </c>
      <c r="B134" s="123">
        <v>3064534</v>
      </c>
      <c r="C134" s="124">
        <f t="shared" si="58"/>
        <v>3217760.7</v>
      </c>
      <c r="D134" s="124">
        <f t="shared" si="58"/>
        <v>3378648.7350000003</v>
      </c>
    </row>
    <row r="135" spans="1:4" ht="31">
      <c r="A135" s="131" t="s">
        <v>26</v>
      </c>
      <c r="B135" s="120">
        <f t="shared" ref="B135" si="59">SUM(B136+B137)</f>
        <v>0</v>
      </c>
      <c r="C135" s="124"/>
      <c r="D135" s="126">
        <f t="shared" si="55"/>
        <v>0</v>
      </c>
    </row>
    <row r="136" spans="1:4">
      <c r="A136" s="132" t="s">
        <v>27</v>
      </c>
      <c r="B136" s="123">
        <v>0</v>
      </c>
      <c r="C136" s="124"/>
      <c r="D136" s="126">
        <f t="shared" si="55"/>
        <v>0</v>
      </c>
    </row>
    <row r="137" spans="1:4">
      <c r="A137" s="132" t="s">
        <v>28</v>
      </c>
      <c r="B137" s="123">
        <v>0</v>
      </c>
      <c r="C137" s="124"/>
      <c r="D137" s="126">
        <f t="shared" si="55"/>
        <v>0</v>
      </c>
    </row>
    <row r="138" spans="1:4">
      <c r="A138" s="131" t="s">
        <v>29</v>
      </c>
      <c r="B138" s="120">
        <f t="shared" ref="B138:D138" si="60">SUM(B139:B140)</f>
        <v>50000</v>
      </c>
      <c r="C138" s="121">
        <f t="shared" si="60"/>
        <v>52500</v>
      </c>
      <c r="D138" s="121">
        <f t="shared" si="60"/>
        <v>55125</v>
      </c>
    </row>
    <row r="139" spans="1:4">
      <c r="A139" s="132" t="s">
        <v>30</v>
      </c>
      <c r="B139" s="123">
        <v>50000</v>
      </c>
      <c r="C139" s="124">
        <f>B139*1.05</f>
        <v>52500</v>
      </c>
      <c r="D139" s="124">
        <f>C139*1.05</f>
        <v>55125</v>
      </c>
    </row>
    <row r="140" spans="1:4">
      <c r="A140" s="132" t="s">
        <v>31</v>
      </c>
      <c r="B140" s="123"/>
      <c r="C140" s="124"/>
      <c r="D140" s="126">
        <f t="shared" si="55"/>
        <v>0</v>
      </c>
    </row>
    <row r="141" spans="1:4">
      <c r="A141" s="131" t="s">
        <v>32</v>
      </c>
      <c r="B141" s="120">
        <f t="shared" ref="B141:D141" si="61">SUM(B142:B144)</f>
        <v>60380</v>
      </c>
      <c r="C141" s="121">
        <f t="shared" si="61"/>
        <v>0</v>
      </c>
      <c r="D141" s="121">
        <f t="shared" si="61"/>
        <v>0</v>
      </c>
    </row>
    <row r="142" spans="1:4">
      <c r="A142" s="132" t="s">
        <v>33</v>
      </c>
      <c r="B142" s="123"/>
      <c r="C142" s="124">
        <f>B142*1.05</f>
        <v>0</v>
      </c>
      <c r="D142" s="124">
        <f>C142*1.05</f>
        <v>0</v>
      </c>
    </row>
    <row r="143" spans="1:4">
      <c r="A143" s="132" t="s">
        <v>34</v>
      </c>
      <c r="B143" s="123">
        <f>60000+380</f>
        <v>60380</v>
      </c>
      <c r="C143" s="124"/>
      <c r="D143" s="124"/>
    </row>
    <row r="144" spans="1:4">
      <c r="A144" s="132" t="s">
        <v>35</v>
      </c>
      <c r="B144" s="123">
        <v>0</v>
      </c>
      <c r="C144" s="124"/>
      <c r="D144" s="126">
        <f t="shared" si="55"/>
        <v>0</v>
      </c>
    </row>
    <row r="145" spans="1:4" ht="31">
      <c r="A145" s="119" t="s">
        <v>36</v>
      </c>
      <c r="B145" s="120">
        <f>SUM(B146:B149)</f>
        <v>3200000</v>
      </c>
      <c r="C145" s="121">
        <f t="shared" ref="C145:D145" si="62">SUM(C146:C149)</f>
        <v>3360000</v>
      </c>
      <c r="D145" s="121">
        <f t="shared" si="62"/>
        <v>3528000</v>
      </c>
    </row>
    <row r="146" spans="1:4">
      <c r="A146" s="132" t="s">
        <v>37</v>
      </c>
      <c r="B146" s="123">
        <v>1000000</v>
      </c>
      <c r="C146" s="124">
        <f>B146*1.05</f>
        <v>1050000</v>
      </c>
      <c r="D146" s="124">
        <f>C146*1.05</f>
        <v>1102500</v>
      </c>
    </row>
    <row r="147" spans="1:4" ht="31">
      <c r="A147" s="132" t="s">
        <v>38</v>
      </c>
      <c r="B147" s="123">
        <v>1000000</v>
      </c>
      <c r="C147" s="124">
        <f t="shared" ref="C147:D148" si="63">B147*1.05</f>
        <v>1050000</v>
      </c>
      <c r="D147" s="124">
        <f t="shared" si="63"/>
        <v>1102500</v>
      </c>
    </row>
    <row r="148" spans="1:4">
      <c r="A148" s="133" t="s">
        <v>39</v>
      </c>
      <c r="B148" s="123">
        <v>1200000</v>
      </c>
      <c r="C148" s="124">
        <f t="shared" si="63"/>
        <v>1260000</v>
      </c>
      <c r="D148" s="124">
        <f t="shared" si="63"/>
        <v>1323000</v>
      </c>
    </row>
    <row r="149" spans="1:4">
      <c r="A149" s="133" t="s">
        <v>40</v>
      </c>
      <c r="B149" s="123">
        <v>0</v>
      </c>
      <c r="C149" s="124"/>
      <c r="D149" s="126">
        <f t="shared" si="55"/>
        <v>0</v>
      </c>
    </row>
    <row r="150" spans="1:4" ht="31">
      <c r="A150" s="119" t="s">
        <v>42</v>
      </c>
      <c r="B150" s="120">
        <f t="shared" ref="B150:D150" si="64">SUM(B151:B154)</f>
        <v>300000</v>
      </c>
      <c r="C150" s="121">
        <f t="shared" si="64"/>
        <v>315000</v>
      </c>
      <c r="D150" s="121">
        <f t="shared" si="64"/>
        <v>330750</v>
      </c>
    </row>
    <row r="151" spans="1:4">
      <c r="A151" s="132" t="s">
        <v>43</v>
      </c>
      <c r="B151" s="123">
        <v>0</v>
      </c>
      <c r="C151" s="124"/>
      <c r="D151" s="126">
        <f t="shared" si="55"/>
        <v>0</v>
      </c>
    </row>
    <row r="152" spans="1:4">
      <c r="A152" s="133" t="s">
        <v>44</v>
      </c>
      <c r="B152" s="123">
        <v>0</v>
      </c>
      <c r="C152" s="124"/>
      <c r="D152" s="126">
        <f t="shared" si="55"/>
        <v>0</v>
      </c>
    </row>
    <row r="153" spans="1:4">
      <c r="A153" s="133" t="s">
        <v>45</v>
      </c>
      <c r="B153" s="123">
        <v>300000</v>
      </c>
      <c r="C153" s="124">
        <f>B153*1.05</f>
        <v>315000</v>
      </c>
      <c r="D153" s="124">
        <f t="shared" ref="D153" si="65">C153*1.05</f>
        <v>330750</v>
      </c>
    </row>
    <row r="154" spans="1:4">
      <c r="A154" s="132" t="s">
        <v>46</v>
      </c>
      <c r="B154" s="123">
        <v>0</v>
      </c>
      <c r="C154" s="124"/>
      <c r="D154" s="126">
        <f t="shared" si="55"/>
        <v>0</v>
      </c>
    </row>
    <row r="155" spans="1:4">
      <c r="A155" s="119" t="s">
        <v>47</v>
      </c>
      <c r="B155" s="120">
        <f>SUM(B156:B157)</f>
        <v>1800000</v>
      </c>
      <c r="C155" s="121">
        <f>SUM(C156:C157)</f>
        <v>1890000</v>
      </c>
      <c r="D155" s="121">
        <f>SUM(D156:D157)</f>
        <v>1984500</v>
      </c>
    </row>
    <row r="156" spans="1:4">
      <c r="A156" s="132" t="s">
        <v>665</v>
      </c>
      <c r="B156" s="123">
        <v>800000</v>
      </c>
      <c r="C156" s="124">
        <f>B156*1.05</f>
        <v>840000</v>
      </c>
      <c r="D156" s="124">
        <f>C156*1.05</f>
        <v>882000</v>
      </c>
    </row>
    <row r="157" spans="1:4">
      <c r="A157" s="125" t="s">
        <v>48</v>
      </c>
      <c r="B157" s="123">
        <v>1000000</v>
      </c>
      <c r="C157" s="124">
        <f>B157*1.05</f>
        <v>1050000</v>
      </c>
      <c r="D157" s="124">
        <f>C157*1.05</f>
        <v>1102500</v>
      </c>
    </row>
    <row r="158" spans="1:4">
      <c r="A158" s="119" t="s">
        <v>49</v>
      </c>
      <c r="B158" s="120">
        <f t="shared" ref="B158:D158" si="66">SUM(B159:B160)</f>
        <v>4300000</v>
      </c>
      <c r="C158" s="121">
        <f t="shared" si="66"/>
        <v>4340000</v>
      </c>
      <c r="D158" s="121">
        <f t="shared" si="66"/>
        <v>4382000</v>
      </c>
    </row>
    <row r="159" spans="1:4" ht="31">
      <c r="A159" s="132" t="s">
        <v>50</v>
      </c>
      <c r="B159" s="123">
        <v>800000</v>
      </c>
      <c r="C159" s="124">
        <f>B159*1.05</f>
        <v>840000</v>
      </c>
      <c r="D159" s="124">
        <f>C159*1.05</f>
        <v>882000</v>
      </c>
    </row>
    <row r="160" spans="1:4" ht="31">
      <c r="A160" s="132" t="s">
        <v>51</v>
      </c>
      <c r="B160" s="123">
        <v>3500000</v>
      </c>
      <c r="C160" s="124">
        <f>B160*1</f>
        <v>3500000</v>
      </c>
      <c r="D160" s="124">
        <f>C160*1</f>
        <v>3500000</v>
      </c>
    </row>
    <row r="161" spans="1:4">
      <c r="A161" s="119" t="s">
        <v>52</v>
      </c>
      <c r="B161" s="120">
        <f t="shared" ref="B161:D161" si="67">B162+B163</f>
        <v>400000</v>
      </c>
      <c r="C161" s="121">
        <f t="shared" si="67"/>
        <v>420000</v>
      </c>
      <c r="D161" s="121">
        <f t="shared" si="67"/>
        <v>441000</v>
      </c>
    </row>
    <row r="162" spans="1:4">
      <c r="A162" s="132" t="s">
        <v>53</v>
      </c>
      <c r="B162" s="123">
        <v>0</v>
      </c>
      <c r="C162" s="124"/>
      <c r="D162" s="126">
        <f t="shared" si="55"/>
        <v>0</v>
      </c>
    </row>
    <row r="163" spans="1:4">
      <c r="A163" s="125" t="s">
        <v>54</v>
      </c>
      <c r="B163" s="123">
        <v>400000</v>
      </c>
      <c r="C163" s="124">
        <f>B163*1.05</f>
        <v>420000</v>
      </c>
      <c r="D163" s="124">
        <f>C163*1.05</f>
        <v>441000</v>
      </c>
    </row>
    <row r="164" spans="1:4" ht="31">
      <c r="A164" s="131" t="s">
        <v>55</v>
      </c>
      <c r="B164" s="120">
        <f t="shared" ref="B164:C164" si="68">SUM(B165:B166)</f>
        <v>500000</v>
      </c>
      <c r="C164" s="121">
        <f t="shared" si="68"/>
        <v>525000</v>
      </c>
      <c r="D164" s="121">
        <f>D165+D166</f>
        <v>551250</v>
      </c>
    </row>
    <row r="165" spans="1:4">
      <c r="A165" s="132" t="s">
        <v>56</v>
      </c>
      <c r="B165" s="123">
        <v>300000</v>
      </c>
      <c r="C165" s="124">
        <f>B165*1.05</f>
        <v>315000</v>
      </c>
      <c r="D165" s="124">
        <f>C165*1.05</f>
        <v>330750</v>
      </c>
    </row>
    <row r="166" spans="1:4" ht="31">
      <c r="A166" s="122" t="s">
        <v>57</v>
      </c>
      <c r="B166" s="123">
        <v>200000</v>
      </c>
      <c r="C166" s="124">
        <f>B166*1.05</f>
        <v>210000</v>
      </c>
      <c r="D166" s="124">
        <f>C166*1.05</f>
        <v>220500</v>
      </c>
    </row>
    <row r="167" spans="1:4">
      <c r="A167" s="131" t="s">
        <v>58</v>
      </c>
      <c r="B167" s="120">
        <f t="shared" ref="B167:D167" si="69">SUM(B168)</f>
        <v>600000</v>
      </c>
      <c r="C167" s="121">
        <f t="shared" si="69"/>
        <v>630000</v>
      </c>
      <c r="D167" s="121">
        <f t="shared" si="69"/>
        <v>661500</v>
      </c>
    </row>
    <row r="168" spans="1:4">
      <c r="A168" s="132" t="s">
        <v>59</v>
      </c>
      <c r="B168" s="123">
        <v>600000</v>
      </c>
      <c r="C168" s="124">
        <f>B168*1.05</f>
        <v>630000</v>
      </c>
      <c r="D168" s="124">
        <f>C168*1.05</f>
        <v>661500</v>
      </c>
    </row>
    <row r="169" spans="1:4">
      <c r="A169" s="131" t="s">
        <v>60</v>
      </c>
      <c r="B169" s="120">
        <f>SUM(B170:B172)</f>
        <v>105000</v>
      </c>
      <c r="C169" s="121">
        <f>SUM(C170:C172)</f>
        <v>110250</v>
      </c>
      <c r="D169" s="121">
        <f>SUM(D170:D172)</f>
        <v>115762.5</v>
      </c>
    </row>
    <row r="170" spans="1:4" ht="31">
      <c r="A170" s="132" t="s">
        <v>61</v>
      </c>
      <c r="B170" s="123">
        <v>105000</v>
      </c>
      <c r="C170" s="124">
        <f>B170*1.05</f>
        <v>110250</v>
      </c>
      <c r="D170" s="124">
        <f>C170*1.05</f>
        <v>115762.5</v>
      </c>
    </row>
    <row r="171" spans="1:4" ht="31">
      <c r="A171" s="132" t="s">
        <v>62</v>
      </c>
      <c r="B171" s="123">
        <v>0</v>
      </c>
      <c r="C171" s="124"/>
      <c r="D171" s="126">
        <f t="shared" si="55"/>
        <v>0</v>
      </c>
    </row>
    <row r="172" spans="1:4">
      <c r="A172" s="132" t="s">
        <v>63</v>
      </c>
      <c r="B172" s="123">
        <v>0</v>
      </c>
      <c r="C172" s="124"/>
      <c r="D172" s="126">
        <f t="shared" si="55"/>
        <v>0</v>
      </c>
    </row>
    <row r="173" spans="1:4" ht="31">
      <c r="A173" s="134" t="s">
        <v>64</v>
      </c>
      <c r="B173" s="120">
        <f t="shared" ref="B173:D173" si="70">SUM(B174)</f>
        <v>300000</v>
      </c>
      <c r="C173" s="121">
        <f t="shared" si="70"/>
        <v>315000</v>
      </c>
      <c r="D173" s="121">
        <f t="shared" si="70"/>
        <v>330750</v>
      </c>
    </row>
    <row r="174" spans="1:4">
      <c r="A174" s="135" t="s">
        <v>65</v>
      </c>
      <c r="B174" s="123">
        <v>300000</v>
      </c>
      <c r="C174" s="124">
        <f>B174*1.05</f>
        <v>315000</v>
      </c>
      <c r="D174" s="124">
        <f>C174*1.05</f>
        <v>330750</v>
      </c>
    </row>
    <row r="175" spans="1:4" ht="31">
      <c r="A175" s="131" t="s">
        <v>68</v>
      </c>
      <c r="B175" s="120">
        <f>SUM(B176:B177)</f>
        <v>700000</v>
      </c>
      <c r="C175" s="121">
        <f>SUM(C176:C177)</f>
        <v>735000</v>
      </c>
      <c r="D175" s="121">
        <f>SUM(D176:D177)</f>
        <v>771750</v>
      </c>
    </row>
    <row r="176" spans="1:4">
      <c r="A176" s="132" t="s">
        <v>69</v>
      </c>
      <c r="B176" s="123">
        <v>400000</v>
      </c>
      <c r="C176" s="124">
        <f>B176*1.05</f>
        <v>420000</v>
      </c>
      <c r="D176" s="124">
        <f>C176*1.05</f>
        <v>441000</v>
      </c>
    </row>
    <row r="177" spans="1:8" ht="31">
      <c r="A177" s="132" t="s">
        <v>70</v>
      </c>
      <c r="B177" s="123">
        <v>300000</v>
      </c>
      <c r="C177" s="124">
        <f>B177*1.05</f>
        <v>315000</v>
      </c>
      <c r="D177" s="124">
        <f>C177*1.05</f>
        <v>330750</v>
      </c>
      <c r="H177" s="498" t="s">
        <v>865</v>
      </c>
    </row>
    <row r="178" spans="1:8">
      <c r="A178" s="131" t="s">
        <v>71</v>
      </c>
      <c r="B178" s="123">
        <v>8750000</v>
      </c>
      <c r="C178" s="124">
        <v>8750000</v>
      </c>
      <c r="D178" s="126">
        <v>8750000</v>
      </c>
    </row>
    <row r="179" spans="1:8">
      <c r="A179" s="136"/>
      <c r="B179" s="123"/>
      <c r="C179" s="124"/>
      <c r="D179" s="126">
        <f t="shared" ref="D179:D183" si="71">+B179+C179</f>
        <v>0</v>
      </c>
    </row>
    <row r="180" spans="1:8">
      <c r="A180" s="131" t="s">
        <v>72</v>
      </c>
      <c r="B180" s="120">
        <f>B124+B127+B131+B138+B141+B145+B150+B155+B158+B161+B164+B167+B169+B173+B175+B178</f>
        <v>47998371</v>
      </c>
      <c r="C180" s="137">
        <f>C124+C127+C131+C138+C141+C145+C150+C155+C158+C161+C164+C167+C169+C173+C175+C178</f>
        <v>49722390.550000004</v>
      </c>
      <c r="D180" s="137">
        <f>C180*1.05</f>
        <v>52208510.077500008</v>
      </c>
    </row>
    <row r="181" spans="1:8">
      <c r="A181" s="131" t="s">
        <v>73</v>
      </c>
      <c r="B181" s="120">
        <v>47998371</v>
      </c>
      <c r="C181" s="124"/>
      <c r="D181" s="126"/>
    </row>
    <row r="182" spans="1:8">
      <c r="A182" s="131" t="s">
        <v>74</v>
      </c>
      <c r="B182" s="120">
        <f>B180-B181</f>
        <v>0</v>
      </c>
      <c r="C182" s="137"/>
      <c r="D182" s="137"/>
    </row>
    <row r="183" spans="1:8">
      <c r="A183" s="131" t="s">
        <v>4</v>
      </c>
      <c r="B183" s="138"/>
      <c r="C183" s="124"/>
      <c r="D183" s="126">
        <f t="shared" si="71"/>
        <v>0</v>
      </c>
    </row>
    <row r="184" spans="1:8">
      <c r="A184" s="132" t="s">
        <v>568</v>
      </c>
      <c r="B184" s="123">
        <v>55065924</v>
      </c>
      <c r="C184" s="124">
        <f>B184*1.05</f>
        <v>57819220.200000003</v>
      </c>
      <c r="D184" s="124">
        <f>C184*1.05</f>
        <v>60710181.210000008</v>
      </c>
    </row>
    <row r="185" spans="1:8" ht="31">
      <c r="A185" s="132" t="s">
        <v>76</v>
      </c>
      <c r="B185" s="123">
        <f>-15000000+37326103-5000000</f>
        <v>17326103</v>
      </c>
      <c r="C185" s="124">
        <f t="shared" ref="C185:C186" si="72">B185*1.05</f>
        <v>18192408.150000002</v>
      </c>
      <c r="D185" s="124">
        <f t="shared" ref="D185:D186" si="73">C185*1.05</f>
        <v>19102028.557500005</v>
      </c>
      <c r="E185" s="432">
        <v>15000000</v>
      </c>
    </row>
    <row r="186" spans="1:8">
      <c r="A186" s="132" t="s">
        <v>2</v>
      </c>
      <c r="B186" s="123">
        <v>10000000</v>
      </c>
      <c r="C186" s="124">
        <f t="shared" si="72"/>
        <v>10500000</v>
      </c>
      <c r="D186" s="124">
        <f t="shared" si="73"/>
        <v>11025000</v>
      </c>
    </row>
    <row r="187" spans="1:8">
      <c r="A187" s="131" t="s">
        <v>77</v>
      </c>
      <c r="B187" s="120">
        <f>SUM(B184:B186)</f>
        <v>82392027</v>
      </c>
      <c r="C187" s="120">
        <f>SUM(C184:C186)</f>
        <v>86511628.350000009</v>
      </c>
      <c r="D187" s="120">
        <f>SUM(D184:D186)</f>
        <v>90837209.767500013</v>
      </c>
    </row>
    <row r="188" spans="1:8">
      <c r="A188" s="139" t="s">
        <v>78</v>
      </c>
      <c r="B188" s="140">
        <f>B187+B181</f>
        <v>130390398</v>
      </c>
      <c r="C188" s="141">
        <f>B188*1.05</f>
        <v>136909917.90000001</v>
      </c>
      <c r="D188" s="141">
        <f>C188*1.05</f>
        <v>143755413.79500002</v>
      </c>
    </row>
    <row r="190" spans="1:8" ht="46.5">
      <c r="A190" s="142" t="s">
        <v>0</v>
      </c>
      <c r="B190" s="143" t="s">
        <v>121</v>
      </c>
      <c r="C190" s="143" t="s">
        <v>122</v>
      </c>
      <c r="D190" s="143" t="s">
        <v>123</v>
      </c>
    </row>
    <row r="191" spans="1:8">
      <c r="A191" s="144" t="s">
        <v>124</v>
      </c>
      <c r="B191" s="145">
        <f>B192</f>
        <v>18985251.600000001</v>
      </c>
      <c r="C191" s="145">
        <f t="shared" ref="C191:D191" si="74">C192</f>
        <v>19934514.180000003</v>
      </c>
      <c r="D191" s="145">
        <f t="shared" si="74"/>
        <v>20931239.889000006</v>
      </c>
    </row>
    <row r="192" spans="1:8">
      <c r="A192" s="146" t="s">
        <v>81</v>
      </c>
      <c r="B192" s="147">
        <v>18985251.600000001</v>
      </c>
      <c r="C192" s="148">
        <f t="shared" ref="C192:D192" si="75">B192*1.05</f>
        <v>19934514.180000003</v>
      </c>
      <c r="D192" s="148">
        <f t="shared" si="75"/>
        <v>20931239.889000006</v>
      </c>
    </row>
    <row r="193" spans="1:4">
      <c r="A193" s="144" t="s">
        <v>29</v>
      </c>
      <c r="B193" s="149">
        <f>B194+B195</f>
        <v>246000</v>
      </c>
      <c r="C193" s="149">
        <f t="shared" ref="C193:D193" si="76">C194+C195</f>
        <v>258300</v>
      </c>
      <c r="D193" s="149">
        <f t="shared" si="76"/>
        <v>271215</v>
      </c>
    </row>
    <row r="194" spans="1:4">
      <c r="A194" s="146" t="s">
        <v>125</v>
      </c>
      <c r="B194" s="147">
        <v>150000</v>
      </c>
      <c r="C194" s="148">
        <f t="shared" ref="C194:D195" si="77">B194*1.05</f>
        <v>157500</v>
      </c>
      <c r="D194" s="148">
        <f t="shared" si="77"/>
        <v>165375</v>
      </c>
    </row>
    <row r="195" spans="1:4">
      <c r="A195" s="146" t="s">
        <v>83</v>
      </c>
      <c r="B195" s="147">
        <v>96000</v>
      </c>
      <c r="C195" s="148">
        <f t="shared" si="77"/>
        <v>100800</v>
      </c>
      <c r="D195" s="148">
        <f t="shared" si="77"/>
        <v>105840</v>
      </c>
    </row>
    <row r="196" spans="1:4">
      <c r="A196" s="144" t="s">
        <v>126</v>
      </c>
      <c r="B196" s="149">
        <f>B197</f>
        <v>210000</v>
      </c>
      <c r="C196" s="149">
        <f t="shared" ref="C196:D196" si="78">C197</f>
        <v>220500</v>
      </c>
      <c r="D196" s="149">
        <f t="shared" si="78"/>
        <v>231525</v>
      </c>
    </row>
    <row r="197" spans="1:4" ht="31">
      <c r="A197" s="146" t="s">
        <v>127</v>
      </c>
      <c r="B197" s="150">
        <v>210000</v>
      </c>
      <c r="C197" s="148">
        <f t="shared" ref="C197:D197" si="79">B197*1.05</f>
        <v>220500</v>
      </c>
      <c r="D197" s="148">
        <f t="shared" si="79"/>
        <v>231525</v>
      </c>
    </row>
    <row r="198" spans="1:4" ht="31">
      <c r="A198" s="144" t="s">
        <v>36</v>
      </c>
      <c r="B198" s="149">
        <f>SUM(B199:B201)</f>
        <v>3808000</v>
      </c>
      <c r="C198" s="149">
        <f t="shared" ref="C198:D198" si="80">SUM(C199:C201)</f>
        <v>3998400</v>
      </c>
      <c r="D198" s="149">
        <f t="shared" si="80"/>
        <v>4198320</v>
      </c>
    </row>
    <row r="199" spans="1:4" ht="31">
      <c r="A199" s="146" t="s">
        <v>128</v>
      </c>
      <c r="B199" s="147">
        <v>925000</v>
      </c>
      <c r="C199" s="148">
        <f t="shared" ref="C199:D201" si="81">B199*1.05</f>
        <v>971250</v>
      </c>
      <c r="D199" s="148">
        <f t="shared" si="81"/>
        <v>1019812.5</v>
      </c>
    </row>
    <row r="200" spans="1:4">
      <c r="A200" s="146" t="s">
        <v>129</v>
      </c>
      <c r="B200" s="147">
        <f>1475000</f>
        <v>1475000</v>
      </c>
      <c r="C200" s="148">
        <f t="shared" si="81"/>
        <v>1548750</v>
      </c>
      <c r="D200" s="148">
        <f t="shared" si="81"/>
        <v>1626187.5</v>
      </c>
    </row>
    <row r="201" spans="1:4">
      <c r="A201" s="146" t="s">
        <v>39</v>
      </c>
      <c r="B201" s="147">
        <f>1408000</f>
        <v>1408000</v>
      </c>
      <c r="C201" s="148">
        <f t="shared" si="81"/>
        <v>1478400</v>
      </c>
      <c r="D201" s="148">
        <f t="shared" si="81"/>
        <v>1552320</v>
      </c>
    </row>
    <row r="202" spans="1:4" ht="31">
      <c r="A202" s="144" t="s">
        <v>130</v>
      </c>
      <c r="B202" s="149">
        <f>SUM(B203:B204)</f>
        <v>525000</v>
      </c>
      <c r="C202" s="149">
        <f t="shared" ref="C202:D202" si="82">SUM(C203:C204)</f>
        <v>551250</v>
      </c>
      <c r="D202" s="149">
        <f t="shared" si="82"/>
        <v>578812.5</v>
      </c>
    </row>
    <row r="203" spans="1:4">
      <c r="A203" s="146" t="s">
        <v>131</v>
      </c>
      <c r="B203" s="147">
        <v>262500</v>
      </c>
      <c r="C203" s="148">
        <f t="shared" ref="C203:D204" si="83">B203*1.05</f>
        <v>275625</v>
      </c>
      <c r="D203" s="148">
        <f t="shared" si="83"/>
        <v>289406.25</v>
      </c>
    </row>
    <row r="204" spans="1:4" ht="31">
      <c r="A204" s="146" t="s">
        <v>45</v>
      </c>
      <c r="B204" s="147">
        <v>262500</v>
      </c>
      <c r="C204" s="148">
        <f t="shared" si="83"/>
        <v>275625</v>
      </c>
      <c r="D204" s="148">
        <f t="shared" si="83"/>
        <v>289406.25</v>
      </c>
    </row>
    <row r="205" spans="1:4">
      <c r="A205" s="144" t="s">
        <v>132</v>
      </c>
      <c r="B205" s="149">
        <f>SUM(B206:B207)</f>
        <v>3900000</v>
      </c>
      <c r="C205" s="149">
        <f t="shared" ref="C205:D205" si="84">SUM(C206:C207)</f>
        <v>4095000</v>
      </c>
      <c r="D205" s="149">
        <f t="shared" si="84"/>
        <v>4299750</v>
      </c>
    </row>
    <row r="206" spans="1:4">
      <c r="A206" s="146" t="s">
        <v>93</v>
      </c>
      <c r="B206" s="147">
        <v>2400000</v>
      </c>
      <c r="C206" s="148">
        <f t="shared" ref="C206:D207" si="85">B206*1.05</f>
        <v>2520000</v>
      </c>
      <c r="D206" s="148">
        <f t="shared" si="85"/>
        <v>2646000</v>
      </c>
    </row>
    <row r="207" spans="1:4">
      <c r="A207" s="146" t="s">
        <v>94</v>
      </c>
      <c r="B207" s="147">
        <v>1500000</v>
      </c>
      <c r="C207" s="148">
        <f t="shared" si="85"/>
        <v>1575000</v>
      </c>
      <c r="D207" s="148">
        <f t="shared" si="85"/>
        <v>1653750</v>
      </c>
    </row>
    <row r="208" spans="1:4">
      <c r="A208" s="144" t="s">
        <v>49</v>
      </c>
      <c r="B208" s="149">
        <f>SUM(B209:B210)</f>
        <v>4156066</v>
      </c>
      <c r="C208" s="149">
        <f t="shared" ref="C208:D208" si="86">SUM(C209:C210)</f>
        <v>4363869.3</v>
      </c>
      <c r="D208" s="149">
        <f t="shared" si="86"/>
        <v>4582062.7650000006</v>
      </c>
    </row>
    <row r="209" spans="1:4" ht="31">
      <c r="A209" s="146" t="s">
        <v>133</v>
      </c>
      <c r="B209" s="147">
        <f>1564500-3434</f>
        <v>1561066</v>
      </c>
      <c r="C209" s="148">
        <f t="shared" ref="C209:D210" si="87">B209*1.05</f>
        <v>1639119.3</v>
      </c>
      <c r="D209" s="148">
        <f t="shared" si="87"/>
        <v>1721075.2650000001</v>
      </c>
    </row>
    <row r="210" spans="1:4" ht="31">
      <c r="A210" s="146" t="s">
        <v>134</v>
      </c>
      <c r="B210" s="147">
        <f>2595000</f>
        <v>2595000</v>
      </c>
      <c r="C210" s="148">
        <f t="shared" si="87"/>
        <v>2724750</v>
      </c>
      <c r="D210" s="148">
        <f t="shared" si="87"/>
        <v>2860987.5</v>
      </c>
    </row>
    <row r="211" spans="1:4">
      <c r="A211" s="144" t="s">
        <v>135</v>
      </c>
      <c r="B211" s="149">
        <f>B212</f>
        <v>280000</v>
      </c>
      <c r="C211" s="149">
        <f t="shared" ref="C211:D211" si="88">C212</f>
        <v>294000</v>
      </c>
      <c r="D211" s="149">
        <f t="shared" si="88"/>
        <v>308700</v>
      </c>
    </row>
    <row r="212" spans="1:4">
      <c r="A212" s="146" t="s">
        <v>54</v>
      </c>
      <c r="B212" s="147">
        <v>280000</v>
      </c>
      <c r="C212" s="148">
        <f t="shared" ref="C212:D212" si="89">B212*1.05</f>
        <v>294000</v>
      </c>
      <c r="D212" s="148">
        <f t="shared" si="89"/>
        <v>308700</v>
      </c>
    </row>
    <row r="213" spans="1:4">
      <c r="A213" s="144" t="s">
        <v>136</v>
      </c>
      <c r="B213" s="149">
        <f>SUM(B214:B215)</f>
        <v>525000</v>
      </c>
      <c r="C213" s="149">
        <f t="shared" ref="C213:D213" si="90">SUM(C214:C215)</f>
        <v>551250</v>
      </c>
      <c r="D213" s="149">
        <f t="shared" si="90"/>
        <v>578812.5</v>
      </c>
    </row>
    <row r="214" spans="1:4">
      <c r="A214" s="146" t="s">
        <v>137</v>
      </c>
      <c r="B214" s="147">
        <v>105000</v>
      </c>
      <c r="C214" s="148">
        <f t="shared" ref="C214:D215" si="91">B214*1.05</f>
        <v>110250</v>
      </c>
      <c r="D214" s="148">
        <f t="shared" si="91"/>
        <v>115762.5</v>
      </c>
    </row>
    <row r="215" spans="1:4">
      <c r="A215" s="146" t="s">
        <v>138</v>
      </c>
      <c r="B215" s="147">
        <v>420000</v>
      </c>
      <c r="C215" s="148">
        <f t="shared" si="91"/>
        <v>441000</v>
      </c>
      <c r="D215" s="148">
        <f t="shared" si="91"/>
        <v>463050</v>
      </c>
    </row>
    <row r="216" spans="1:4">
      <c r="A216" s="144" t="s">
        <v>139</v>
      </c>
      <c r="B216" s="149">
        <f>SUM(B217:B218)</f>
        <v>980000</v>
      </c>
      <c r="C216" s="149">
        <f t="shared" ref="C216:D216" si="92">SUM(C217:C218)</f>
        <v>1029000</v>
      </c>
      <c r="D216" s="149">
        <f t="shared" si="92"/>
        <v>1080450</v>
      </c>
    </row>
    <row r="217" spans="1:4" ht="31">
      <c r="A217" s="146" t="s">
        <v>140</v>
      </c>
      <c r="B217" s="147">
        <v>560000</v>
      </c>
      <c r="C217" s="148">
        <f t="shared" ref="C217:D218" si="93">B217*1.05</f>
        <v>588000</v>
      </c>
      <c r="D217" s="148">
        <f t="shared" si="93"/>
        <v>617400</v>
      </c>
    </row>
    <row r="218" spans="1:4" ht="31">
      <c r="A218" s="146" t="s">
        <v>57</v>
      </c>
      <c r="B218" s="147">
        <v>420000</v>
      </c>
      <c r="C218" s="148">
        <f t="shared" si="93"/>
        <v>441000</v>
      </c>
      <c r="D218" s="148">
        <f t="shared" si="93"/>
        <v>463050</v>
      </c>
    </row>
    <row r="219" spans="1:4">
      <c r="A219" s="144" t="s">
        <v>58</v>
      </c>
      <c r="B219" s="149">
        <f>B220</f>
        <v>950000</v>
      </c>
      <c r="C219" s="149">
        <f t="shared" ref="C219:D219" si="94">C220</f>
        <v>997500</v>
      </c>
      <c r="D219" s="149">
        <f t="shared" si="94"/>
        <v>1047375</v>
      </c>
    </row>
    <row r="220" spans="1:4">
      <c r="A220" s="146" t="s">
        <v>102</v>
      </c>
      <c r="B220" s="147">
        <v>950000</v>
      </c>
      <c r="C220" s="148">
        <f t="shared" ref="C220:D220" si="95">B220*1.05</f>
        <v>997500</v>
      </c>
      <c r="D220" s="148">
        <f t="shared" si="95"/>
        <v>1047375</v>
      </c>
    </row>
    <row r="221" spans="1:4">
      <c r="A221" s="144" t="s">
        <v>60</v>
      </c>
      <c r="B221" s="149">
        <f>SUM(B222:B223)</f>
        <v>8319085</v>
      </c>
      <c r="C221" s="149">
        <f t="shared" ref="C221:D221" si="96">SUM(C222:C223)</f>
        <v>136500</v>
      </c>
      <c r="D221" s="149">
        <f t="shared" si="96"/>
        <v>143325</v>
      </c>
    </row>
    <row r="222" spans="1:4" ht="31">
      <c r="A222" s="146" t="s">
        <v>61</v>
      </c>
      <c r="B222" s="147">
        <v>130000</v>
      </c>
      <c r="C222" s="148">
        <f t="shared" ref="C222:D223" si="97">B222*1.05</f>
        <v>136500</v>
      </c>
      <c r="D222" s="148">
        <f t="shared" si="97"/>
        <v>143325</v>
      </c>
    </row>
    <row r="223" spans="1:4">
      <c r="A223" s="146" t="s">
        <v>141</v>
      </c>
      <c r="B223" s="147">
        <v>8189085</v>
      </c>
      <c r="C223" s="148">
        <v>0</v>
      </c>
      <c r="D223" s="148">
        <f t="shared" si="97"/>
        <v>0</v>
      </c>
    </row>
    <row r="224" spans="1:4" ht="31">
      <c r="A224" s="144" t="s">
        <v>64</v>
      </c>
      <c r="B224" s="149">
        <f>SUM(B225)</f>
        <v>210000</v>
      </c>
      <c r="C224" s="149">
        <f t="shared" ref="C224:D224" si="98">SUM(C225)</f>
        <v>220500</v>
      </c>
      <c r="D224" s="149">
        <f t="shared" si="98"/>
        <v>231525</v>
      </c>
    </row>
    <row r="225" spans="1:4">
      <c r="A225" s="146" t="s">
        <v>65</v>
      </c>
      <c r="B225" s="147">
        <v>210000</v>
      </c>
      <c r="C225" s="148">
        <f t="shared" ref="C225:D225" si="99">B225*1.05</f>
        <v>220500</v>
      </c>
      <c r="D225" s="148">
        <f t="shared" si="99"/>
        <v>231525</v>
      </c>
    </row>
    <row r="226" spans="1:4">
      <c r="A226" s="144" t="s">
        <v>112</v>
      </c>
      <c r="B226" s="149">
        <f>SUM(B227:B230)</f>
        <v>120000</v>
      </c>
      <c r="C226" s="149">
        <f t="shared" ref="C226:D226" si="100">SUM(C227:C230)</f>
        <v>126000</v>
      </c>
      <c r="D226" s="149">
        <f t="shared" si="100"/>
        <v>132300</v>
      </c>
    </row>
    <row r="227" spans="1:4" ht="31">
      <c r="A227" s="146" t="s">
        <v>113</v>
      </c>
      <c r="B227" s="151">
        <v>0</v>
      </c>
      <c r="C227" s="148">
        <f t="shared" ref="C227:D230" si="101">B227*1.05</f>
        <v>0</v>
      </c>
      <c r="D227" s="148">
        <f t="shared" si="101"/>
        <v>0</v>
      </c>
    </row>
    <row r="228" spans="1:4" ht="31">
      <c r="A228" s="146" t="s">
        <v>66</v>
      </c>
      <c r="B228" s="147">
        <v>0</v>
      </c>
      <c r="C228" s="148">
        <f t="shared" si="101"/>
        <v>0</v>
      </c>
      <c r="D228" s="148">
        <f t="shared" si="101"/>
        <v>0</v>
      </c>
    </row>
    <row r="229" spans="1:4" ht="31">
      <c r="A229" s="146" t="s">
        <v>142</v>
      </c>
      <c r="B229" s="147">
        <v>0</v>
      </c>
      <c r="C229" s="148">
        <f t="shared" si="101"/>
        <v>0</v>
      </c>
      <c r="D229" s="148">
        <f t="shared" si="101"/>
        <v>0</v>
      </c>
    </row>
    <row r="230" spans="1:4" ht="31">
      <c r="A230" s="146" t="s">
        <v>143</v>
      </c>
      <c r="B230" s="147">
        <v>120000</v>
      </c>
      <c r="C230" s="148">
        <f t="shared" si="101"/>
        <v>126000</v>
      </c>
      <c r="D230" s="148">
        <f t="shared" si="101"/>
        <v>132300</v>
      </c>
    </row>
    <row r="231" spans="1:4">
      <c r="A231" s="144" t="s">
        <v>144</v>
      </c>
      <c r="B231" s="152">
        <f>B232</f>
        <v>8750000</v>
      </c>
      <c r="C231" s="152">
        <f t="shared" ref="C231:D231" si="102">C232</f>
        <v>9187500</v>
      </c>
      <c r="D231" s="152">
        <f t="shared" si="102"/>
        <v>9646875</v>
      </c>
    </row>
    <row r="232" spans="1:4">
      <c r="A232" s="146" t="s">
        <v>144</v>
      </c>
      <c r="B232" s="153">
        <v>8750000</v>
      </c>
      <c r="C232" s="148">
        <f t="shared" ref="C232:D232" si="103">B232*1.05</f>
        <v>9187500</v>
      </c>
      <c r="D232" s="148">
        <f t="shared" si="103"/>
        <v>9646875</v>
      </c>
    </row>
    <row r="233" spans="1:4" ht="31">
      <c r="A233" s="144" t="s">
        <v>145</v>
      </c>
      <c r="B233" s="149">
        <f>B234</f>
        <v>0</v>
      </c>
      <c r="C233" s="149">
        <f t="shared" ref="C233:D233" si="104">C234</f>
        <v>0</v>
      </c>
      <c r="D233" s="149">
        <f t="shared" si="104"/>
        <v>0</v>
      </c>
    </row>
    <row r="234" spans="1:4" ht="31">
      <c r="A234" s="146" t="s">
        <v>146</v>
      </c>
      <c r="B234" s="147">
        <v>0</v>
      </c>
      <c r="C234" s="148">
        <f t="shared" ref="C234:D234" si="105">B234*1.05</f>
        <v>0</v>
      </c>
      <c r="D234" s="148">
        <f t="shared" si="105"/>
        <v>0</v>
      </c>
    </row>
    <row r="235" spans="1:4" ht="31">
      <c r="A235" s="144" t="s">
        <v>115</v>
      </c>
      <c r="B235" s="145">
        <f>B237+B236</f>
        <v>765000</v>
      </c>
      <c r="C235" s="145">
        <f t="shared" ref="C235:D235" si="106">C237+C236</f>
        <v>803250</v>
      </c>
      <c r="D235" s="145">
        <f t="shared" si="106"/>
        <v>843412.5</v>
      </c>
    </row>
    <row r="236" spans="1:4">
      <c r="A236" s="146" t="s">
        <v>147</v>
      </c>
      <c r="B236" s="147">
        <v>315000</v>
      </c>
      <c r="C236" s="148">
        <f t="shared" ref="C236:D237" si="107">B236*1.05</f>
        <v>330750</v>
      </c>
      <c r="D236" s="148">
        <f t="shared" si="107"/>
        <v>347287.5</v>
      </c>
    </row>
    <row r="237" spans="1:4" ht="31">
      <c r="A237" s="146" t="s">
        <v>148</v>
      </c>
      <c r="B237" s="147">
        <v>450000</v>
      </c>
      <c r="C237" s="148">
        <f t="shared" si="107"/>
        <v>472500</v>
      </c>
      <c r="D237" s="148">
        <f t="shared" si="107"/>
        <v>496125</v>
      </c>
    </row>
    <row r="238" spans="1:4" ht="31">
      <c r="A238" s="144" t="s">
        <v>149</v>
      </c>
      <c r="B238" s="149">
        <f>B239+B240</f>
        <v>800000</v>
      </c>
      <c r="C238" s="149">
        <f t="shared" ref="C238:D238" si="108">C239+C240</f>
        <v>840000</v>
      </c>
      <c r="D238" s="149">
        <f t="shared" si="108"/>
        <v>882000</v>
      </c>
    </row>
    <row r="239" spans="1:4" ht="31">
      <c r="A239" s="146" t="s">
        <v>150</v>
      </c>
      <c r="B239" s="147">
        <v>800000</v>
      </c>
      <c r="C239" s="148">
        <f t="shared" ref="C239:D240" si="109">B239*1.05</f>
        <v>840000</v>
      </c>
      <c r="D239" s="148">
        <f t="shared" si="109"/>
        <v>882000</v>
      </c>
    </row>
    <row r="240" spans="1:4">
      <c r="A240" s="154" t="s">
        <v>151</v>
      </c>
      <c r="B240" s="147">
        <v>0</v>
      </c>
      <c r="C240" s="148">
        <f t="shared" si="109"/>
        <v>0</v>
      </c>
      <c r="D240" s="148">
        <f t="shared" si="109"/>
        <v>0</v>
      </c>
    </row>
    <row r="241" spans="1:5">
      <c r="A241" s="155" t="s">
        <v>152</v>
      </c>
      <c r="B241" s="156">
        <f>B238+B235+B231+B226+B224+B221+B219+B216+B213+B211+B208+B205+B202+B198+B196+B193+B191</f>
        <v>53529402.600000001</v>
      </c>
      <c r="C241" s="156">
        <f t="shared" ref="C241:D241" si="110">C238+C235+C231+C226+C224+C221+C219+C216+C213+C211+C208+C205+C202+C198+C196+C193+C191</f>
        <v>47607333.480000004</v>
      </c>
      <c r="D241" s="156">
        <f t="shared" si="110"/>
        <v>49987700.154000007</v>
      </c>
    </row>
    <row r="242" spans="1:5">
      <c r="A242" s="146"/>
      <c r="B242" s="149"/>
      <c r="C242" s="148">
        <f t="shared" ref="C242:D242" si="111">B242*1.05</f>
        <v>0</v>
      </c>
      <c r="D242" s="148">
        <f t="shared" si="111"/>
        <v>0</v>
      </c>
    </row>
    <row r="243" spans="1:5">
      <c r="A243" s="146"/>
      <c r="B243" s="149"/>
      <c r="C243" s="148"/>
      <c r="D243" s="148"/>
    </row>
    <row r="244" spans="1:5">
      <c r="A244" s="157" t="s">
        <v>153</v>
      </c>
      <c r="B244" s="149">
        <f>B241-B243</f>
        <v>53529402.600000001</v>
      </c>
      <c r="C244" s="158">
        <f t="shared" ref="C244:D248" si="112">B244*1.05</f>
        <v>56205872.730000004</v>
      </c>
      <c r="D244" s="158">
        <f t="shared" si="112"/>
        <v>59016166.366500005</v>
      </c>
    </row>
    <row r="245" spans="1:5">
      <c r="A245" s="146" t="s">
        <v>154</v>
      </c>
      <c r="B245" s="149">
        <f>B246</f>
        <v>45368215</v>
      </c>
      <c r="C245" s="148">
        <f t="shared" si="112"/>
        <v>47636625.75</v>
      </c>
      <c r="D245" s="148">
        <f t="shared" si="112"/>
        <v>50018457.037500001</v>
      </c>
    </row>
    <row r="246" spans="1:5">
      <c r="A246" s="146" t="s">
        <v>154</v>
      </c>
      <c r="B246" s="151">
        <f>45368215</f>
        <v>45368215</v>
      </c>
      <c r="C246" s="148">
        <f t="shared" si="112"/>
        <v>47636625.75</v>
      </c>
      <c r="D246" s="148">
        <f t="shared" si="112"/>
        <v>50018457.037500001</v>
      </c>
    </row>
    <row r="247" spans="1:5">
      <c r="A247" s="146" t="s">
        <v>155</v>
      </c>
      <c r="B247" s="149">
        <f>B248+B249</f>
        <v>21245616</v>
      </c>
      <c r="C247" s="148">
        <f t="shared" si="112"/>
        <v>22307896.800000001</v>
      </c>
      <c r="D247" s="148">
        <f t="shared" si="112"/>
        <v>23423291.640000001</v>
      </c>
    </row>
    <row r="248" spans="1:5">
      <c r="A248" s="146" t="s">
        <v>156</v>
      </c>
      <c r="B248" s="151">
        <f>-6000000+7774909</f>
        <v>1774909</v>
      </c>
      <c r="C248" s="148">
        <v>33000000</v>
      </c>
      <c r="D248" s="148">
        <f t="shared" si="112"/>
        <v>34650000</v>
      </c>
      <c r="E248" s="432">
        <v>6000000</v>
      </c>
    </row>
    <row r="249" spans="1:5">
      <c r="A249" s="146" t="s">
        <v>157</v>
      </c>
      <c r="B249" s="151">
        <v>19470707</v>
      </c>
      <c r="C249" s="148">
        <v>6218853</v>
      </c>
      <c r="D249" s="148">
        <v>0</v>
      </c>
    </row>
    <row r="250" spans="1:5" ht="31">
      <c r="A250" s="159" t="s">
        <v>158</v>
      </c>
      <c r="B250" s="160">
        <f>B247+B245</f>
        <v>66613831</v>
      </c>
      <c r="C250" s="158">
        <f t="shared" ref="C250:D251" si="113">B250*1.05</f>
        <v>69944522.549999997</v>
      </c>
      <c r="D250" s="158">
        <f t="shared" si="113"/>
        <v>73441748.677499995</v>
      </c>
    </row>
    <row r="251" spans="1:5">
      <c r="A251" s="144" t="s">
        <v>159</v>
      </c>
      <c r="B251" s="161">
        <f>B250+B241</f>
        <v>120143233.59999999</v>
      </c>
      <c r="C251" s="158">
        <f t="shared" si="113"/>
        <v>126150395.28</v>
      </c>
      <c r="D251" s="158">
        <f t="shared" si="113"/>
        <v>132457915.044</v>
      </c>
    </row>
  </sheetData>
  <protectedRanges>
    <protectedRange password="C43E" sqref="A69" name="Range1_9_1_1_3_1_1"/>
    <protectedRange password="C43E" sqref="A71:A72" name="Range1_1_1_1_1_3_1_1"/>
    <protectedRange password="C43E" sqref="A74:A76" name="Range1_2_1_1_1_3_1_1"/>
    <protectedRange password="C43E" sqref="A78:A81" name="Range1_3_1_1_1_3_1_1"/>
    <protectedRange password="C43E" sqref="A82" name="Range1_4_1_1_1_3_1_1"/>
    <protectedRange password="C43E" sqref="A84:A85" name="Range1_5_1_1_1_3_1_1"/>
    <protectedRange password="C43E" sqref="A87:A88" name="Range1_6_1_1_1_3_1_1"/>
    <protectedRange password="C43E" sqref="A90" name="Range1_7_1_1_1_3_1_1"/>
    <protectedRange password="C43E" sqref="A92" name="Range1_10_1_1_1_3_1_1"/>
    <protectedRange password="C43E" sqref="A94" name="Range1_11_1_1_1_3_1_1"/>
    <protectedRange password="C43E" sqref="A96" name="Range1_12_1_1_1_3_1_1"/>
    <protectedRange password="C43E" sqref="A98:A102" name="Range1_13_1_1_1_3_1_1_1"/>
    <protectedRange password="C43E" sqref="A107:A109" name="Range1_15_1_1_1_3_1_1"/>
    <protectedRange password="C43E" sqref="A112:A113" name="Range1_20_1_1_1_3_1_1"/>
    <protectedRange password="C43E" sqref="A111" name="Range1_21_1_1_1_3_1_1"/>
  </protectedRanges>
  <mergeCells count="3">
    <mergeCell ref="A2:D2"/>
    <mergeCell ref="A1:D1"/>
    <mergeCell ref="A123:D123"/>
  </mergeCells>
  <pageMargins left="0.7" right="0.7" top="0.75" bottom="0.75" header="0.3" footer="0.3"/>
  <pageSetup scale="8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topLeftCell="A117" workbookViewId="0">
      <selection activeCell="A132" sqref="A132"/>
    </sheetView>
  </sheetViews>
  <sheetFormatPr defaultColWidth="9.08984375" defaultRowHeight="14"/>
  <cols>
    <col min="1" max="1" width="67.1796875" style="291" customWidth="1"/>
    <col min="2" max="2" width="14.26953125" style="90" customWidth="1"/>
    <col min="3" max="3" width="16.1796875" style="90" customWidth="1"/>
    <col min="4" max="4" width="16.26953125" style="90" customWidth="1"/>
    <col min="5" max="5" width="25.7265625" style="90" customWidth="1"/>
    <col min="6" max="16384" width="9.08984375" style="90"/>
  </cols>
  <sheetData>
    <row r="1" spans="1:4" ht="15.4" customHeight="1">
      <c r="A1" s="250"/>
      <c r="B1" s="251"/>
      <c r="C1" s="251"/>
      <c r="D1" s="251"/>
    </row>
    <row r="2" spans="1:4" ht="15.4" customHeight="1">
      <c r="A2" s="250" t="s">
        <v>409</v>
      </c>
      <c r="B2" s="252"/>
      <c r="C2" s="252"/>
      <c r="D2" s="252"/>
    </row>
    <row r="3" spans="1:4" ht="34" customHeight="1">
      <c r="A3" s="253" t="s">
        <v>744</v>
      </c>
      <c r="B3" s="254" t="s">
        <v>7</v>
      </c>
      <c r="C3" s="255" t="s">
        <v>8</v>
      </c>
      <c r="D3" s="255" t="s">
        <v>9</v>
      </c>
    </row>
    <row r="4" spans="1:4" ht="15.5">
      <c r="A4" s="256" t="s">
        <v>745</v>
      </c>
      <c r="B4" s="257">
        <f>B5</f>
        <v>0</v>
      </c>
      <c r="C4" s="257">
        <f>C5</f>
        <v>0</v>
      </c>
      <c r="D4" s="257">
        <f>D5</f>
        <v>0</v>
      </c>
    </row>
    <row r="5" spans="1:4" ht="15.5">
      <c r="A5" s="258" t="s">
        <v>746</v>
      </c>
      <c r="B5" s="259">
        <f>-B6</f>
        <v>0</v>
      </c>
      <c r="C5" s="260">
        <f t="shared" ref="C5:C57" si="0">B5*1.05</f>
        <v>0</v>
      </c>
      <c r="D5" s="260">
        <f t="shared" ref="D5:D57" si="1">1.05*C5</f>
        <v>0</v>
      </c>
    </row>
    <row r="6" spans="1:4" ht="15.5">
      <c r="A6" s="258" t="s">
        <v>712</v>
      </c>
      <c r="B6" s="259">
        <v>0</v>
      </c>
      <c r="C6" s="260">
        <f t="shared" si="0"/>
        <v>0</v>
      </c>
      <c r="D6" s="260">
        <f t="shared" si="1"/>
        <v>0</v>
      </c>
    </row>
    <row r="7" spans="1:4" ht="15.5">
      <c r="A7" s="258" t="s">
        <v>747</v>
      </c>
      <c r="B7" s="259">
        <v>0</v>
      </c>
      <c r="C7" s="260">
        <f t="shared" si="0"/>
        <v>0</v>
      </c>
      <c r="D7" s="260">
        <f t="shared" si="1"/>
        <v>0</v>
      </c>
    </row>
    <row r="8" spans="1:4" ht="15.5">
      <c r="A8" s="256" t="s">
        <v>748</v>
      </c>
      <c r="B8" s="257">
        <f>B9+B10+B11</f>
        <v>0</v>
      </c>
      <c r="C8" s="261">
        <f t="shared" si="0"/>
        <v>0</v>
      </c>
      <c r="D8" s="261">
        <f t="shared" si="1"/>
        <v>0</v>
      </c>
    </row>
    <row r="9" spans="1:4" ht="15.5">
      <c r="A9" s="258" t="s">
        <v>714</v>
      </c>
      <c r="B9" s="259"/>
      <c r="C9" s="260">
        <f t="shared" si="0"/>
        <v>0</v>
      </c>
      <c r="D9" s="260">
        <f t="shared" si="1"/>
        <v>0</v>
      </c>
    </row>
    <row r="10" spans="1:4" ht="15.5">
      <c r="A10" s="258" t="s">
        <v>749</v>
      </c>
      <c r="B10" s="259"/>
      <c r="C10" s="260">
        <f t="shared" si="0"/>
        <v>0</v>
      </c>
      <c r="D10" s="260">
        <f t="shared" si="1"/>
        <v>0</v>
      </c>
    </row>
    <row r="11" spans="1:4" ht="15.5">
      <c r="A11" s="258" t="s">
        <v>411</v>
      </c>
      <c r="B11" s="259"/>
      <c r="C11" s="260">
        <f t="shared" si="0"/>
        <v>0</v>
      </c>
      <c r="D11" s="260">
        <f t="shared" si="1"/>
        <v>0</v>
      </c>
    </row>
    <row r="12" spans="1:4" ht="15.5">
      <c r="A12" s="256" t="s">
        <v>750</v>
      </c>
      <c r="B12" s="257">
        <f>B13</f>
        <v>0</v>
      </c>
      <c r="C12" s="261">
        <f t="shared" si="0"/>
        <v>0</v>
      </c>
      <c r="D12" s="261">
        <f t="shared" si="1"/>
        <v>0</v>
      </c>
    </row>
    <row r="13" spans="1:4" ht="15.5">
      <c r="A13" s="258" t="s">
        <v>751</v>
      </c>
      <c r="B13" s="259"/>
      <c r="C13" s="260">
        <f t="shared" si="0"/>
        <v>0</v>
      </c>
      <c r="D13" s="260">
        <f t="shared" si="1"/>
        <v>0</v>
      </c>
    </row>
    <row r="14" spans="1:4" ht="15.5">
      <c r="A14" s="256" t="s">
        <v>752</v>
      </c>
      <c r="B14" s="257">
        <f>B15</f>
        <v>0</v>
      </c>
      <c r="C14" s="257">
        <f>C15</f>
        <v>0</v>
      </c>
      <c r="D14" s="257">
        <f>D15</f>
        <v>0</v>
      </c>
    </row>
    <row r="15" spans="1:4" ht="15.5">
      <c r="A15" s="258" t="s">
        <v>753</v>
      </c>
      <c r="B15" s="259"/>
      <c r="C15" s="260">
        <f t="shared" si="0"/>
        <v>0</v>
      </c>
      <c r="D15" s="260">
        <f t="shared" si="1"/>
        <v>0</v>
      </c>
    </row>
    <row r="16" spans="1:4" ht="15.5">
      <c r="A16" s="256" t="s">
        <v>29</v>
      </c>
      <c r="B16" s="257">
        <f>B17</f>
        <v>20000</v>
      </c>
      <c r="C16" s="261">
        <f t="shared" si="0"/>
        <v>21000</v>
      </c>
      <c r="D16" s="261">
        <f t="shared" si="1"/>
        <v>22050</v>
      </c>
    </row>
    <row r="17" spans="1:4" ht="15.5">
      <c r="A17" s="262" t="s">
        <v>31</v>
      </c>
      <c r="B17" s="263">
        <v>20000</v>
      </c>
      <c r="C17" s="260">
        <f t="shared" si="0"/>
        <v>21000</v>
      </c>
      <c r="D17" s="260">
        <f t="shared" si="1"/>
        <v>22050</v>
      </c>
    </row>
    <row r="18" spans="1:4" ht="15.5">
      <c r="A18" s="256" t="s">
        <v>32</v>
      </c>
      <c r="B18" s="257">
        <f>B19+B20</f>
        <v>262519</v>
      </c>
      <c r="C18" s="261">
        <f t="shared" si="0"/>
        <v>275644.95</v>
      </c>
      <c r="D18" s="261">
        <f t="shared" si="1"/>
        <v>289427.19750000001</v>
      </c>
    </row>
    <row r="19" spans="1:4" ht="15.5">
      <c r="A19" s="262" t="s">
        <v>754</v>
      </c>
      <c r="B19" s="263">
        <v>252000</v>
      </c>
      <c r="C19" s="260">
        <f t="shared" si="0"/>
        <v>264600</v>
      </c>
      <c r="D19" s="260">
        <f t="shared" si="1"/>
        <v>277830</v>
      </c>
    </row>
    <row r="20" spans="1:4" ht="15.5">
      <c r="A20" s="262" t="s">
        <v>35</v>
      </c>
      <c r="B20" s="263">
        <v>10519</v>
      </c>
      <c r="C20" s="260">
        <f t="shared" si="0"/>
        <v>11044.95</v>
      </c>
      <c r="D20" s="260">
        <f t="shared" si="1"/>
        <v>11597.197500000002</v>
      </c>
    </row>
    <row r="21" spans="1:4" ht="15.5">
      <c r="A21" s="256" t="s">
        <v>36</v>
      </c>
      <c r="B21" s="257">
        <f>B22+B23+B24+B25</f>
        <v>4259412</v>
      </c>
      <c r="C21" s="261">
        <f>C22+C23+C24+C25</f>
        <v>4472382.5999999996</v>
      </c>
      <c r="D21" s="261">
        <f>D22+D23+D24+D25</f>
        <v>4696001.7300000004</v>
      </c>
    </row>
    <row r="22" spans="1:4" ht="15.5">
      <c r="A22" s="262" t="s">
        <v>755</v>
      </c>
      <c r="B22" s="263">
        <v>340000</v>
      </c>
      <c r="C22" s="260">
        <f t="shared" si="0"/>
        <v>357000</v>
      </c>
      <c r="D22" s="260">
        <f t="shared" si="1"/>
        <v>374850</v>
      </c>
    </row>
    <row r="23" spans="1:4" ht="15.5">
      <c r="A23" s="262" t="s">
        <v>756</v>
      </c>
      <c r="B23" s="263">
        <v>649655</v>
      </c>
      <c r="C23" s="260">
        <f t="shared" si="0"/>
        <v>682137.75</v>
      </c>
      <c r="D23" s="260">
        <f t="shared" si="1"/>
        <v>716244.63750000007</v>
      </c>
    </row>
    <row r="24" spans="1:4" ht="15.5">
      <c r="A24" s="262" t="s">
        <v>700</v>
      </c>
      <c r="B24" s="263">
        <v>3066407</v>
      </c>
      <c r="C24" s="260">
        <f t="shared" si="0"/>
        <v>3219727.35</v>
      </c>
      <c r="D24" s="260">
        <f t="shared" si="1"/>
        <v>3380713.7175000003</v>
      </c>
    </row>
    <row r="25" spans="1:4" ht="15.5">
      <c r="A25" s="262" t="s">
        <v>40</v>
      </c>
      <c r="B25" s="263">
        <v>203350</v>
      </c>
      <c r="C25" s="260">
        <f t="shared" si="0"/>
        <v>213517.5</v>
      </c>
      <c r="D25" s="260">
        <f t="shared" si="1"/>
        <v>224193.375</v>
      </c>
    </row>
    <row r="26" spans="1:4" ht="15.5">
      <c r="A26" s="256" t="s">
        <v>91</v>
      </c>
      <c r="B26" s="257">
        <f>B27+B28</f>
        <v>215000</v>
      </c>
      <c r="C26" s="257">
        <f t="shared" ref="C26:D26" si="2">C27+C28</f>
        <v>225750</v>
      </c>
      <c r="D26" s="257">
        <f t="shared" si="2"/>
        <v>237037.5</v>
      </c>
    </row>
    <row r="27" spans="1:4" ht="15.5">
      <c r="A27" s="262" t="s">
        <v>757</v>
      </c>
      <c r="B27" s="263">
        <v>30000</v>
      </c>
      <c r="C27" s="260">
        <f t="shared" si="0"/>
        <v>31500</v>
      </c>
      <c r="D27" s="260">
        <f t="shared" si="1"/>
        <v>33075</v>
      </c>
    </row>
    <row r="28" spans="1:4" ht="15.5">
      <c r="A28" s="262" t="s">
        <v>758</v>
      </c>
      <c r="B28" s="263">
        <v>185000</v>
      </c>
      <c r="C28" s="260">
        <f t="shared" si="0"/>
        <v>194250</v>
      </c>
      <c r="D28" s="260">
        <f t="shared" si="1"/>
        <v>203962.5</v>
      </c>
    </row>
    <row r="29" spans="1:4" ht="15.5">
      <c r="A29" s="256" t="s">
        <v>47</v>
      </c>
      <c r="B29" s="257">
        <f>B30+B31</f>
        <v>1700000</v>
      </c>
      <c r="C29" s="261">
        <f t="shared" si="0"/>
        <v>1785000</v>
      </c>
      <c r="D29" s="261">
        <f t="shared" si="1"/>
        <v>1874250</v>
      </c>
    </row>
    <row r="30" spans="1:4" ht="15.5">
      <c r="A30" s="262" t="s">
        <v>759</v>
      </c>
      <c r="B30" s="263">
        <v>429500</v>
      </c>
      <c r="C30" s="260">
        <f t="shared" si="0"/>
        <v>450975</v>
      </c>
      <c r="D30" s="260">
        <f t="shared" si="1"/>
        <v>473523.75</v>
      </c>
    </row>
    <row r="31" spans="1:4" ht="15.5">
      <c r="A31" s="262" t="s">
        <v>702</v>
      </c>
      <c r="B31" s="263">
        <v>1270500</v>
      </c>
      <c r="C31" s="260">
        <f t="shared" si="0"/>
        <v>1334025</v>
      </c>
      <c r="D31" s="260">
        <f t="shared" si="1"/>
        <v>1400726.25</v>
      </c>
    </row>
    <row r="32" spans="1:4" ht="15.5">
      <c r="A32" s="256" t="s">
        <v>49</v>
      </c>
      <c r="B32" s="257">
        <f>B33+B34</f>
        <v>3965351</v>
      </c>
      <c r="C32" s="261">
        <f t="shared" si="0"/>
        <v>4163618.5500000003</v>
      </c>
      <c r="D32" s="261">
        <f t="shared" si="1"/>
        <v>4371799.4775</v>
      </c>
    </row>
    <row r="33" spans="1:4" ht="15.5">
      <c r="A33" s="262" t="s">
        <v>760</v>
      </c>
      <c r="B33" s="263">
        <v>1008144</v>
      </c>
      <c r="C33" s="260">
        <f t="shared" si="0"/>
        <v>1058551.2</v>
      </c>
      <c r="D33" s="260">
        <f t="shared" si="1"/>
        <v>1111478.76</v>
      </c>
    </row>
    <row r="34" spans="1:4" ht="15.5">
      <c r="A34" s="262" t="s">
        <v>761</v>
      </c>
      <c r="B34" s="263">
        <v>2957207</v>
      </c>
      <c r="C34" s="260">
        <f t="shared" si="0"/>
        <v>3105067.35</v>
      </c>
      <c r="D34" s="260">
        <f t="shared" si="1"/>
        <v>3260320.7175000003</v>
      </c>
    </row>
    <row r="35" spans="1:4" ht="15.5">
      <c r="A35" s="256" t="s">
        <v>55</v>
      </c>
      <c r="B35" s="257">
        <f>SUM(B36:B37)</f>
        <v>834500</v>
      </c>
      <c r="C35" s="261">
        <f t="shared" si="0"/>
        <v>876225</v>
      </c>
      <c r="D35" s="261">
        <f t="shared" si="1"/>
        <v>920036.25</v>
      </c>
    </row>
    <row r="36" spans="1:4" ht="15.5">
      <c r="A36" s="262" t="s">
        <v>762</v>
      </c>
      <c r="B36" s="263">
        <v>344500</v>
      </c>
      <c r="C36" s="260">
        <f>B36*1.05</f>
        <v>361725</v>
      </c>
      <c r="D36" s="260">
        <f t="shared" si="1"/>
        <v>379811.25</v>
      </c>
    </row>
    <row r="37" spans="1:4" ht="15.5">
      <c r="A37" s="262" t="s">
        <v>167</v>
      </c>
      <c r="B37" s="263">
        <v>490000</v>
      </c>
      <c r="C37" s="260">
        <f t="shared" si="0"/>
        <v>514500</v>
      </c>
      <c r="D37" s="260">
        <f t="shared" si="1"/>
        <v>540225</v>
      </c>
    </row>
    <row r="38" spans="1:4" ht="15.5">
      <c r="A38" s="256" t="s">
        <v>58</v>
      </c>
      <c r="B38" s="257">
        <f>B39</f>
        <v>1352000</v>
      </c>
      <c r="C38" s="261">
        <f t="shared" si="0"/>
        <v>1419600</v>
      </c>
      <c r="D38" s="261">
        <f t="shared" si="1"/>
        <v>1490580</v>
      </c>
    </row>
    <row r="39" spans="1:4" ht="15.5">
      <c r="A39" s="262" t="s">
        <v>59</v>
      </c>
      <c r="B39" s="263">
        <f>-1000000+2352000</f>
        <v>1352000</v>
      </c>
      <c r="C39" s="260">
        <f t="shared" si="0"/>
        <v>1419600</v>
      </c>
      <c r="D39" s="260">
        <f t="shared" si="1"/>
        <v>1490580</v>
      </c>
    </row>
    <row r="40" spans="1:4" ht="15.5">
      <c r="A40" s="256" t="s">
        <v>60</v>
      </c>
      <c r="B40" s="257">
        <f>SUM(B41:B43)</f>
        <v>3614810</v>
      </c>
      <c r="C40" s="261">
        <f t="shared" si="0"/>
        <v>3795550.5</v>
      </c>
      <c r="D40" s="261">
        <f t="shared" si="1"/>
        <v>3985328.0250000004</v>
      </c>
    </row>
    <row r="41" spans="1:4" ht="15.5">
      <c r="A41" s="262" t="s">
        <v>61</v>
      </c>
      <c r="B41" s="263">
        <v>53900</v>
      </c>
      <c r="C41" s="260">
        <f t="shared" si="0"/>
        <v>56595</v>
      </c>
      <c r="D41" s="260">
        <f t="shared" si="1"/>
        <v>59424.75</v>
      </c>
    </row>
    <row r="42" spans="1:4" ht="15.5">
      <c r="A42" s="262" t="s">
        <v>54</v>
      </c>
      <c r="B42" s="263">
        <v>260000</v>
      </c>
      <c r="C42" s="260">
        <f t="shared" si="0"/>
        <v>273000</v>
      </c>
      <c r="D42" s="260">
        <f t="shared" si="1"/>
        <v>286650</v>
      </c>
    </row>
    <row r="43" spans="1:4" ht="15.5">
      <c r="A43" s="262" t="s">
        <v>107</v>
      </c>
      <c r="B43" s="263">
        <v>3300910</v>
      </c>
      <c r="C43" s="260">
        <f t="shared" si="0"/>
        <v>3465955.5</v>
      </c>
      <c r="D43" s="260">
        <f t="shared" si="1"/>
        <v>3639253.2750000004</v>
      </c>
    </row>
    <row r="44" spans="1:4" ht="15.5">
      <c r="A44" s="256" t="s">
        <v>64</v>
      </c>
      <c r="B44" s="257">
        <f>B45</f>
        <v>949805</v>
      </c>
      <c r="C44" s="261">
        <f t="shared" si="0"/>
        <v>997295.25</v>
      </c>
      <c r="D44" s="261">
        <f t="shared" si="1"/>
        <v>1047160.0125000001</v>
      </c>
    </row>
    <row r="45" spans="1:4" ht="15.5">
      <c r="A45" s="262" t="s">
        <v>65</v>
      </c>
      <c r="B45" s="263">
        <v>949805</v>
      </c>
      <c r="C45" s="260">
        <f t="shared" si="0"/>
        <v>997295.25</v>
      </c>
      <c r="D45" s="260">
        <f t="shared" si="1"/>
        <v>1047160.0125000001</v>
      </c>
    </row>
    <row r="46" spans="1:4" ht="15.5">
      <c r="A46" s="256" t="s">
        <v>112</v>
      </c>
      <c r="B46" s="257">
        <f>B47+B48+B49+B50</f>
        <v>110000</v>
      </c>
      <c r="C46" s="261">
        <f t="shared" si="0"/>
        <v>115500</v>
      </c>
      <c r="D46" s="261">
        <f t="shared" si="1"/>
        <v>121275</v>
      </c>
    </row>
    <row r="47" spans="1:4" ht="15.5">
      <c r="A47" s="258" t="s">
        <v>113</v>
      </c>
      <c r="B47" s="259">
        <v>0</v>
      </c>
      <c r="C47" s="260">
        <f t="shared" si="0"/>
        <v>0</v>
      </c>
      <c r="D47" s="260">
        <f t="shared" si="1"/>
        <v>0</v>
      </c>
    </row>
    <row r="48" spans="1:4" ht="15.5">
      <c r="A48" s="262" t="s">
        <v>66</v>
      </c>
      <c r="B48" s="263">
        <v>30000</v>
      </c>
      <c r="C48" s="260">
        <f t="shared" si="0"/>
        <v>31500</v>
      </c>
      <c r="D48" s="260">
        <f t="shared" si="1"/>
        <v>33075</v>
      </c>
    </row>
    <row r="49" spans="1:5" ht="15.5">
      <c r="A49" s="262" t="s">
        <v>142</v>
      </c>
      <c r="B49" s="263">
        <v>50000</v>
      </c>
      <c r="C49" s="260">
        <f t="shared" si="0"/>
        <v>52500</v>
      </c>
      <c r="D49" s="260">
        <f t="shared" si="1"/>
        <v>55125</v>
      </c>
    </row>
    <row r="50" spans="1:5" ht="15.5">
      <c r="A50" s="262" t="s">
        <v>67</v>
      </c>
      <c r="B50" s="263">
        <v>30000</v>
      </c>
      <c r="C50" s="260">
        <f t="shared" si="0"/>
        <v>31500</v>
      </c>
      <c r="D50" s="260">
        <f t="shared" si="1"/>
        <v>33075</v>
      </c>
    </row>
    <row r="51" spans="1:5" ht="15.5">
      <c r="A51" s="256" t="s">
        <v>115</v>
      </c>
      <c r="B51" s="257">
        <f>B52+B53+B54+B55</f>
        <v>3034851</v>
      </c>
      <c r="C51" s="257">
        <f>C52+C53+C54+C55</f>
        <v>3186593.5500000003</v>
      </c>
      <c r="D51" s="257">
        <f>D52+D53+D54+D55</f>
        <v>3345923.2275000005</v>
      </c>
    </row>
    <row r="52" spans="1:5" ht="15.5">
      <c r="A52" s="262" t="s">
        <v>69</v>
      </c>
      <c r="B52" s="263">
        <v>500000</v>
      </c>
      <c r="C52" s="260">
        <f t="shared" si="0"/>
        <v>525000</v>
      </c>
      <c r="D52" s="260">
        <f t="shared" si="1"/>
        <v>551250</v>
      </c>
    </row>
    <row r="53" spans="1:5" ht="15.5">
      <c r="A53" s="262" t="s">
        <v>70</v>
      </c>
      <c r="B53" s="263"/>
      <c r="C53" s="260">
        <f t="shared" si="0"/>
        <v>0</v>
      </c>
      <c r="D53" s="260">
        <f t="shared" si="1"/>
        <v>0</v>
      </c>
    </row>
    <row r="54" spans="1:5" ht="15.5">
      <c r="A54" s="262" t="s">
        <v>763</v>
      </c>
      <c r="B54" s="263">
        <v>0</v>
      </c>
      <c r="C54" s="260">
        <f t="shared" si="0"/>
        <v>0</v>
      </c>
      <c r="D54" s="260">
        <f t="shared" si="1"/>
        <v>0</v>
      </c>
    </row>
    <row r="55" spans="1:5" ht="15.5">
      <c r="A55" s="264" t="s">
        <v>764</v>
      </c>
      <c r="B55" s="265">
        <f>2534851</f>
        <v>2534851</v>
      </c>
      <c r="C55" s="260">
        <f t="shared" si="0"/>
        <v>2661593.5500000003</v>
      </c>
      <c r="D55" s="260">
        <f t="shared" si="1"/>
        <v>2794673.2275000005</v>
      </c>
    </row>
    <row r="56" spans="1:5" ht="15.5">
      <c r="A56" s="256" t="s">
        <v>765</v>
      </c>
      <c r="B56" s="257">
        <v>0</v>
      </c>
      <c r="C56" s="261">
        <f t="shared" si="0"/>
        <v>0</v>
      </c>
      <c r="D56" s="261">
        <f t="shared" si="1"/>
        <v>0</v>
      </c>
      <c r="E56" s="462">
        <v>10000000</v>
      </c>
    </row>
    <row r="57" spans="1:5" ht="15" customHeight="1">
      <c r="A57" s="256" t="s">
        <v>412</v>
      </c>
      <c r="B57" s="257">
        <f>B4+B8+B12+B14+B16+B18+B21+B26+B29+B32+B35+B38+B40+B44+B46+B51+B56</f>
        <v>20318248</v>
      </c>
      <c r="C57" s="261">
        <f t="shared" si="0"/>
        <v>21334160.400000002</v>
      </c>
      <c r="D57" s="261">
        <f t="shared" si="1"/>
        <v>22400868.420000002</v>
      </c>
    </row>
    <row r="58" spans="1:5" ht="15.5">
      <c r="A58" s="266" t="s">
        <v>672</v>
      </c>
      <c r="B58" s="267"/>
      <c r="C58" s="267"/>
      <c r="D58" s="268"/>
    </row>
    <row r="59" spans="1:5" ht="15.5">
      <c r="A59" s="258" t="s">
        <v>413</v>
      </c>
      <c r="B59" s="259"/>
      <c r="C59" s="260"/>
      <c r="D59" s="260"/>
    </row>
    <row r="60" spans="1:5" ht="15.5">
      <c r="A60" s="269" t="s">
        <v>896</v>
      </c>
      <c r="B60" s="270">
        <f>57109942</f>
        <v>57109942</v>
      </c>
      <c r="C60" s="260">
        <f>B60*1.05</f>
        <v>59965439.100000001</v>
      </c>
      <c r="D60" s="260">
        <f t="shared" ref="C60:D63" si="3">C60*1.05</f>
        <v>62963711.055000007</v>
      </c>
    </row>
    <row r="61" spans="1:5" ht="15.5">
      <c r="A61" s="269" t="s">
        <v>897</v>
      </c>
      <c r="B61" s="259">
        <f>'Ward based rojects'!F9</f>
        <v>56340690.127376013</v>
      </c>
      <c r="C61" s="260">
        <f>B61*1.05</f>
        <v>59157724.633744814</v>
      </c>
      <c r="D61" s="260">
        <f t="shared" si="3"/>
        <v>62115610.865432054</v>
      </c>
    </row>
    <row r="62" spans="1:5" ht="15.5">
      <c r="A62" s="258" t="s">
        <v>898</v>
      </c>
      <c r="B62" s="259">
        <v>40083915.340000004</v>
      </c>
      <c r="C62" s="260">
        <f t="shared" si="3"/>
        <v>42088111.107000008</v>
      </c>
      <c r="D62" s="260">
        <f t="shared" si="3"/>
        <v>44192516.662350014</v>
      </c>
    </row>
    <row r="63" spans="1:5" ht="15.5">
      <c r="A63" s="256" t="s">
        <v>413</v>
      </c>
      <c r="B63" s="257">
        <f>SUM(B60:B62)</f>
        <v>153534547.46737602</v>
      </c>
      <c r="C63" s="271">
        <f t="shared" si="3"/>
        <v>161211274.84074482</v>
      </c>
      <c r="D63" s="271">
        <f t="shared" si="3"/>
        <v>169271838.58278206</v>
      </c>
    </row>
    <row r="64" spans="1:5" ht="15" customHeight="1">
      <c r="A64" s="272" t="s">
        <v>415</v>
      </c>
      <c r="B64" s="273">
        <f>B57+B63</f>
        <v>173852795.46737602</v>
      </c>
      <c r="C64" s="273">
        <f>C57+C63</f>
        <v>182545435.24074483</v>
      </c>
      <c r="D64" s="273">
        <f>D57+D63</f>
        <v>191672707.00278205</v>
      </c>
      <c r="E64" s="463">
        <f>B57+B63</f>
        <v>173852795.46737602</v>
      </c>
    </row>
    <row r="65" spans="1:4" ht="15.5">
      <c r="A65" s="274" t="s">
        <v>570</v>
      </c>
      <c r="B65" s="275"/>
      <c r="C65" s="275"/>
      <c r="D65" s="275"/>
    </row>
    <row r="66" spans="1:4" ht="33" customHeight="1">
      <c r="A66" s="253" t="s">
        <v>766</v>
      </c>
      <c r="B66" s="254" t="s">
        <v>416</v>
      </c>
      <c r="C66" s="255" t="s">
        <v>417</v>
      </c>
      <c r="D66" s="255" t="s">
        <v>7</v>
      </c>
    </row>
    <row r="67" spans="1:4" ht="15.5">
      <c r="A67" s="276" t="s">
        <v>767</v>
      </c>
      <c r="B67" s="277">
        <f>B68</f>
        <v>0</v>
      </c>
      <c r="C67" s="277">
        <f>C68</f>
        <v>0</v>
      </c>
      <c r="D67" s="277">
        <f>D68</f>
        <v>0</v>
      </c>
    </row>
    <row r="68" spans="1:4" ht="15.5">
      <c r="A68" s="258" t="s">
        <v>768</v>
      </c>
      <c r="B68" s="259"/>
      <c r="C68" s="260">
        <f t="shared" ref="C68:C119" si="4">B68*1.05</f>
        <v>0</v>
      </c>
      <c r="D68" s="260">
        <f t="shared" ref="D68:D119" si="5">1.05*C68</f>
        <v>0</v>
      </c>
    </row>
    <row r="69" spans="1:4" ht="15.5">
      <c r="A69" s="256" t="s">
        <v>668</v>
      </c>
      <c r="B69" s="257">
        <v>0</v>
      </c>
      <c r="C69" s="260">
        <f t="shared" si="4"/>
        <v>0</v>
      </c>
      <c r="D69" s="260">
        <f t="shared" si="5"/>
        <v>0</v>
      </c>
    </row>
    <row r="70" spans="1:4" ht="15.5">
      <c r="A70" s="258" t="s">
        <v>712</v>
      </c>
      <c r="B70" s="259">
        <v>0</v>
      </c>
      <c r="C70" s="260">
        <f t="shared" si="4"/>
        <v>0</v>
      </c>
      <c r="D70" s="260">
        <f t="shared" si="5"/>
        <v>0</v>
      </c>
    </row>
    <row r="71" spans="1:4" ht="15.5">
      <c r="A71" s="258" t="s">
        <v>747</v>
      </c>
      <c r="B71" s="259">
        <v>0</v>
      </c>
      <c r="C71" s="260">
        <f t="shared" si="4"/>
        <v>0</v>
      </c>
      <c r="D71" s="260">
        <f t="shared" si="5"/>
        <v>0</v>
      </c>
    </row>
    <row r="72" spans="1:4" ht="15.5">
      <c r="A72" s="256" t="s">
        <v>748</v>
      </c>
      <c r="B72" s="257">
        <f>B73+B74+B75</f>
        <v>0</v>
      </c>
      <c r="C72" s="260">
        <f t="shared" si="4"/>
        <v>0</v>
      </c>
      <c r="D72" s="260">
        <f t="shared" si="5"/>
        <v>0</v>
      </c>
    </row>
    <row r="73" spans="1:4" ht="15.5">
      <c r="A73" s="258" t="s">
        <v>714</v>
      </c>
      <c r="B73" s="259"/>
      <c r="C73" s="260">
        <f t="shared" si="4"/>
        <v>0</v>
      </c>
      <c r="D73" s="260">
        <f t="shared" si="5"/>
        <v>0</v>
      </c>
    </row>
    <row r="74" spans="1:4" ht="15.5">
      <c r="A74" s="258" t="s">
        <v>749</v>
      </c>
      <c r="B74" s="259"/>
      <c r="C74" s="260">
        <f t="shared" si="4"/>
        <v>0</v>
      </c>
      <c r="D74" s="260">
        <f t="shared" si="5"/>
        <v>0</v>
      </c>
    </row>
    <row r="75" spans="1:4" ht="15.5">
      <c r="A75" s="258" t="s">
        <v>418</v>
      </c>
      <c r="B75" s="259"/>
      <c r="C75" s="260">
        <f t="shared" si="4"/>
        <v>0</v>
      </c>
      <c r="D75" s="260">
        <f t="shared" si="5"/>
        <v>0</v>
      </c>
    </row>
    <row r="76" spans="1:4" ht="15.5">
      <c r="A76" s="256" t="s">
        <v>750</v>
      </c>
      <c r="B76" s="257">
        <f>B77</f>
        <v>0</v>
      </c>
      <c r="C76" s="260">
        <f t="shared" si="4"/>
        <v>0</v>
      </c>
      <c r="D76" s="260">
        <f t="shared" si="5"/>
        <v>0</v>
      </c>
    </row>
    <row r="77" spans="1:4" ht="15.5">
      <c r="A77" s="258" t="s">
        <v>751</v>
      </c>
      <c r="B77" s="259"/>
      <c r="C77" s="261">
        <f t="shared" si="4"/>
        <v>0</v>
      </c>
      <c r="D77" s="260">
        <f t="shared" si="5"/>
        <v>0</v>
      </c>
    </row>
    <row r="78" spans="1:4" ht="15.5">
      <c r="A78" s="258" t="s">
        <v>672</v>
      </c>
      <c r="B78" s="259"/>
      <c r="C78" s="261"/>
      <c r="D78" s="260"/>
    </row>
    <row r="79" spans="1:4" ht="15.5">
      <c r="A79" s="256" t="s">
        <v>752</v>
      </c>
      <c r="B79" s="257">
        <f>B80</f>
        <v>0</v>
      </c>
      <c r="C79" s="261">
        <f t="shared" si="4"/>
        <v>0</v>
      </c>
      <c r="D79" s="261">
        <f t="shared" si="5"/>
        <v>0</v>
      </c>
    </row>
    <row r="80" spans="1:4" ht="15.5">
      <c r="A80" s="258" t="s">
        <v>753</v>
      </c>
      <c r="B80" s="259"/>
      <c r="C80" s="261">
        <f t="shared" si="4"/>
        <v>0</v>
      </c>
      <c r="D80" s="260">
        <f t="shared" si="5"/>
        <v>0</v>
      </c>
    </row>
    <row r="81" spans="1:4" ht="15.5">
      <c r="A81" s="256" t="s">
        <v>29</v>
      </c>
      <c r="B81" s="257">
        <f>B82</f>
        <v>14683180</v>
      </c>
      <c r="C81" s="261">
        <f t="shared" si="4"/>
        <v>15417339</v>
      </c>
      <c r="D81" s="261">
        <f t="shared" si="5"/>
        <v>16188205.950000001</v>
      </c>
    </row>
    <row r="82" spans="1:4" ht="15.5">
      <c r="A82" s="262" t="s">
        <v>30</v>
      </c>
      <c r="B82" s="263">
        <v>14683180</v>
      </c>
      <c r="C82" s="260">
        <f t="shared" si="4"/>
        <v>15417339</v>
      </c>
      <c r="D82" s="260">
        <f t="shared" si="5"/>
        <v>16188205.950000001</v>
      </c>
    </row>
    <row r="83" spans="1:4" ht="15.5">
      <c r="A83" s="256" t="s">
        <v>36</v>
      </c>
      <c r="B83" s="257">
        <f>B84+B85+B86+B87</f>
        <v>2356070</v>
      </c>
      <c r="C83" s="261">
        <f>C84+C85+C86+C87</f>
        <v>2473873.5</v>
      </c>
      <c r="D83" s="261">
        <f>D84+D85+D86+D87</f>
        <v>2597567.1750000003</v>
      </c>
    </row>
    <row r="84" spans="1:4" ht="15.5">
      <c r="A84" s="262" t="s">
        <v>699</v>
      </c>
      <c r="B84" s="263">
        <v>180000</v>
      </c>
      <c r="C84" s="260">
        <f t="shared" si="4"/>
        <v>189000</v>
      </c>
      <c r="D84" s="260">
        <f t="shared" si="5"/>
        <v>198450</v>
      </c>
    </row>
    <row r="85" spans="1:4" ht="15.5">
      <c r="A85" s="262" t="s">
        <v>756</v>
      </c>
      <c r="B85" s="263">
        <v>1030380</v>
      </c>
      <c r="C85" s="260">
        <f t="shared" si="4"/>
        <v>1081899</v>
      </c>
      <c r="D85" s="260">
        <f t="shared" si="5"/>
        <v>1135993.95</v>
      </c>
    </row>
    <row r="86" spans="1:4" ht="15.5">
      <c r="A86" s="262" t="s">
        <v>700</v>
      </c>
      <c r="B86" s="263">
        <v>861000</v>
      </c>
      <c r="C86" s="260">
        <f t="shared" si="4"/>
        <v>904050</v>
      </c>
      <c r="D86" s="260">
        <f t="shared" si="5"/>
        <v>949252.5</v>
      </c>
    </row>
    <row r="87" spans="1:4" ht="15.5">
      <c r="A87" s="262" t="s">
        <v>40</v>
      </c>
      <c r="B87" s="263">
        <v>284690</v>
      </c>
      <c r="C87" s="260">
        <f t="shared" si="4"/>
        <v>298924.5</v>
      </c>
      <c r="D87" s="260">
        <f t="shared" si="5"/>
        <v>313870.72500000003</v>
      </c>
    </row>
    <row r="88" spans="1:4" ht="15.5">
      <c r="A88" s="256" t="s">
        <v>769</v>
      </c>
      <c r="B88" s="257">
        <v>0</v>
      </c>
      <c r="C88" s="260">
        <f t="shared" si="4"/>
        <v>0</v>
      </c>
      <c r="D88" s="260">
        <f t="shared" si="5"/>
        <v>0</v>
      </c>
    </row>
    <row r="89" spans="1:4" ht="15.5">
      <c r="A89" s="258" t="s">
        <v>770</v>
      </c>
      <c r="B89" s="259">
        <v>0</v>
      </c>
      <c r="C89" s="260">
        <f t="shared" si="4"/>
        <v>0</v>
      </c>
      <c r="D89" s="260">
        <f t="shared" si="5"/>
        <v>0</v>
      </c>
    </row>
    <row r="90" spans="1:4" ht="15.5">
      <c r="A90" s="258" t="s">
        <v>771</v>
      </c>
      <c r="B90" s="259">
        <v>0</v>
      </c>
      <c r="C90" s="260">
        <f t="shared" si="4"/>
        <v>0</v>
      </c>
      <c r="D90" s="260">
        <f t="shared" si="5"/>
        <v>0</v>
      </c>
    </row>
    <row r="91" spans="1:4" ht="15.5">
      <c r="A91" s="256" t="s">
        <v>91</v>
      </c>
      <c r="B91" s="257">
        <f>B92+B93+B94+B95</f>
        <v>0</v>
      </c>
      <c r="C91" s="261">
        <f>C92+C93+C94+C95</f>
        <v>0</v>
      </c>
      <c r="D91" s="261">
        <f>D92+D93+D94+D95</f>
        <v>0</v>
      </c>
    </row>
    <row r="92" spans="1:4" ht="15.5">
      <c r="A92" s="262" t="s">
        <v>757</v>
      </c>
      <c r="B92" s="263">
        <v>0</v>
      </c>
      <c r="C92" s="260">
        <f t="shared" si="4"/>
        <v>0</v>
      </c>
      <c r="D92" s="260">
        <f t="shared" si="5"/>
        <v>0</v>
      </c>
    </row>
    <row r="93" spans="1:4" ht="15.5">
      <c r="A93" s="262" t="s">
        <v>772</v>
      </c>
      <c r="B93" s="263">
        <v>0</v>
      </c>
      <c r="C93" s="260">
        <f t="shared" si="4"/>
        <v>0</v>
      </c>
      <c r="D93" s="260">
        <f t="shared" si="5"/>
        <v>0</v>
      </c>
    </row>
    <row r="94" spans="1:4" ht="15.5">
      <c r="A94" s="262" t="s">
        <v>758</v>
      </c>
      <c r="B94" s="263">
        <v>0</v>
      </c>
      <c r="C94" s="260">
        <f t="shared" si="4"/>
        <v>0</v>
      </c>
      <c r="D94" s="260">
        <f t="shared" si="5"/>
        <v>0</v>
      </c>
    </row>
    <row r="95" spans="1:4" ht="15.5">
      <c r="A95" s="262" t="s">
        <v>46</v>
      </c>
      <c r="B95" s="263">
        <v>0</v>
      </c>
      <c r="C95" s="260">
        <f t="shared" si="4"/>
        <v>0</v>
      </c>
      <c r="D95" s="260">
        <f t="shared" si="5"/>
        <v>0</v>
      </c>
    </row>
    <row r="96" spans="1:4" ht="15.5">
      <c r="A96" s="256" t="s">
        <v>47</v>
      </c>
      <c r="B96" s="257">
        <f>B97+B99</f>
        <v>966018</v>
      </c>
      <c r="C96" s="261">
        <f t="shared" si="4"/>
        <v>1014318.9</v>
      </c>
      <c r="D96" s="261">
        <f t="shared" si="5"/>
        <v>1065034.845</v>
      </c>
    </row>
    <row r="97" spans="1:4" ht="15.5">
      <c r="A97" s="262" t="s">
        <v>759</v>
      </c>
      <c r="B97" s="263">
        <v>330400</v>
      </c>
      <c r="C97" s="261">
        <f t="shared" si="4"/>
        <v>346920</v>
      </c>
      <c r="D97" s="260">
        <f t="shared" si="5"/>
        <v>364266</v>
      </c>
    </row>
    <row r="98" spans="1:4" ht="15.5">
      <c r="A98" s="278" t="s">
        <v>703</v>
      </c>
      <c r="B98" s="279"/>
      <c r="C98" s="260">
        <f>B97*1.05</f>
        <v>346920</v>
      </c>
      <c r="D98" s="260">
        <f t="shared" si="5"/>
        <v>364266</v>
      </c>
    </row>
    <row r="99" spans="1:4" ht="15.5">
      <c r="A99" s="262" t="s">
        <v>702</v>
      </c>
      <c r="B99" s="263">
        <v>635618</v>
      </c>
      <c r="C99" s="260">
        <f t="shared" si="4"/>
        <v>667398.9</v>
      </c>
      <c r="D99" s="260">
        <f t="shared" si="5"/>
        <v>700768.84500000009</v>
      </c>
    </row>
    <row r="100" spans="1:4" ht="15.5">
      <c r="A100" s="256" t="s">
        <v>49</v>
      </c>
      <c r="B100" s="257">
        <f>B101+B102</f>
        <v>828032</v>
      </c>
      <c r="C100" s="261">
        <f>B100*1.05</f>
        <v>869433.60000000009</v>
      </c>
      <c r="D100" s="261">
        <f t="shared" si="5"/>
        <v>912905.28000000014</v>
      </c>
    </row>
    <row r="101" spans="1:4" ht="15.5">
      <c r="A101" s="262" t="s">
        <v>760</v>
      </c>
      <c r="B101" s="263">
        <v>237969</v>
      </c>
      <c r="C101" s="260">
        <f t="shared" si="4"/>
        <v>249867.45</v>
      </c>
      <c r="D101" s="260">
        <f t="shared" si="5"/>
        <v>262360.82250000001</v>
      </c>
    </row>
    <row r="102" spans="1:4" ht="15.5">
      <c r="A102" s="262" t="s">
        <v>761</v>
      </c>
      <c r="B102" s="263">
        <v>590063</v>
      </c>
      <c r="C102" s="260">
        <f t="shared" si="4"/>
        <v>619566.15</v>
      </c>
      <c r="D102" s="260">
        <f t="shared" si="5"/>
        <v>650544.45750000002</v>
      </c>
    </row>
    <row r="103" spans="1:4" ht="15.5">
      <c r="A103" s="256" t="s">
        <v>58</v>
      </c>
      <c r="B103" s="257">
        <f>B104</f>
        <v>940995</v>
      </c>
      <c r="C103" s="261">
        <f t="shared" si="4"/>
        <v>988044.75</v>
      </c>
      <c r="D103" s="261">
        <f t="shared" si="5"/>
        <v>1037446.9875</v>
      </c>
    </row>
    <row r="104" spans="1:4" ht="15.5">
      <c r="A104" s="262" t="s">
        <v>59</v>
      </c>
      <c r="B104" s="263">
        <f>-115005+1056000</f>
        <v>940995</v>
      </c>
      <c r="C104" s="260">
        <f t="shared" si="4"/>
        <v>988044.75</v>
      </c>
      <c r="D104" s="260">
        <f t="shared" si="5"/>
        <v>1037446.9875</v>
      </c>
    </row>
    <row r="105" spans="1:4" ht="15.5">
      <c r="A105" s="256" t="s">
        <v>60</v>
      </c>
      <c r="B105" s="257">
        <f>SUM(B106:B108)</f>
        <v>2420731</v>
      </c>
      <c r="C105" s="261">
        <f t="shared" si="4"/>
        <v>2541767.5500000003</v>
      </c>
      <c r="D105" s="261">
        <f t="shared" si="5"/>
        <v>2668855.9275000002</v>
      </c>
    </row>
    <row r="106" spans="1:4" ht="15.5">
      <c r="A106" s="262" t="s">
        <v>61</v>
      </c>
      <c r="B106" s="263">
        <v>18000</v>
      </c>
      <c r="C106" s="260">
        <f t="shared" si="4"/>
        <v>18900</v>
      </c>
      <c r="D106" s="260">
        <f t="shared" si="5"/>
        <v>19845</v>
      </c>
    </row>
    <row r="107" spans="1:4" ht="15.5">
      <c r="A107" s="262" t="s">
        <v>54</v>
      </c>
      <c r="B107" s="263">
        <v>280000</v>
      </c>
      <c r="C107" s="260">
        <f t="shared" si="4"/>
        <v>294000</v>
      </c>
      <c r="D107" s="260">
        <f t="shared" si="5"/>
        <v>308700</v>
      </c>
    </row>
    <row r="108" spans="1:4" ht="15.5">
      <c r="A108" s="262" t="s">
        <v>773</v>
      </c>
      <c r="B108" s="263">
        <v>2122731</v>
      </c>
      <c r="C108" s="260">
        <f t="shared" si="4"/>
        <v>2228867.5500000003</v>
      </c>
      <c r="D108" s="260">
        <f t="shared" si="5"/>
        <v>2340310.9275000002</v>
      </c>
    </row>
    <row r="109" spans="1:4" ht="15.5">
      <c r="A109" s="256" t="s">
        <v>64</v>
      </c>
      <c r="B109" s="257">
        <f>B110</f>
        <v>288000</v>
      </c>
      <c r="C109" s="261">
        <f t="shared" si="4"/>
        <v>302400</v>
      </c>
      <c r="D109" s="261">
        <f t="shared" si="5"/>
        <v>317520</v>
      </c>
    </row>
    <row r="110" spans="1:4" ht="15.5">
      <c r="A110" s="262" t="s">
        <v>65</v>
      </c>
      <c r="B110" s="263">
        <v>288000</v>
      </c>
      <c r="C110" s="260">
        <f t="shared" si="4"/>
        <v>302400</v>
      </c>
      <c r="D110" s="260">
        <f t="shared" si="5"/>
        <v>317520</v>
      </c>
    </row>
    <row r="111" spans="1:4" ht="15.5">
      <c r="A111" s="256" t="s">
        <v>112</v>
      </c>
      <c r="B111" s="257">
        <f>B112+B113+B114+B115+B116</f>
        <v>0</v>
      </c>
      <c r="C111" s="261">
        <f t="shared" si="4"/>
        <v>0</v>
      </c>
      <c r="D111" s="261">
        <f t="shared" si="5"/>
        <v>0</v>
      </c>
    </row>
    <row r="112" spans="1:4" ht="15.5">
      <c r="A112" s="258" t="s">
        <v>113</v>
      </c>
      <c r="B112" s="259">
        <v>0</v>
      </c>
      <c r="C112" s="260">
        <f t="shared" si="4"/>
        <v>0</v>
      </c>
      <c r="D112" s="260">
        <f t="shared" si="5"/>
        <v>0</v>
      </c>
    </row>
    <row r="113" spans="1:5" ht="15.5">
      <c r="A113" s="262" t="s">
        <v>66</v>
      </c>
      <c r="B113" s="263">
        <v>0</v>
      </c>
      <c r="C113" s="260">
        <f t="shared" si="4"/>
        <v>0</v>
      </c>
      <c r="D113" s="260">
        <f t="shared" si="5"/>
        <v>0</v>
      </c>
    </row>
    <row r="114" spans="1:5" ht="15.5">
      <c r="A114" s="262" t="s">
        <v>142</v>
      </c>
      <c r="B114" s="263">
        <v>0</v>
      </c>
      <c r="C114" s="260">
        <f t="shared" si="4"/>
        <v>0</v>
      </c>
      <c r="D114" s="260">
        <f t="shared" si="5"/>
        <v>0</v>
      </c>
    </row>
    <row r="115" spans="1:5" ht="15.5">
      <c r="A115" s="262" t="s">
        <v>67</v>
      </c>
      <c r="B115" s="263">
        <v>0</v>
      </c>
      <c r="C115" s="260">
        <f t="shared" si="4"/>
        <v>0</v>
      </c>
      <c r="D115" s="260">
        <f t="shared" si="5"/>
        <v>0</v>
      </c>
    </row>
    <row r="116" spans="1:5" ht="15.5">
      <c r="A116" s="262" t="s">
        <v>774</v>
      </c>
      <c r="B116" s="263">
        <f>-B117</f>
        <v>0</v>
      </c>
      <c r="C116" s="260">
        <f t="shared" si="4"/>
        <v>0</v>
      </c>
      <c r="D116" s="260">
        <f t="shared" si="5"/>
        <v>0</v>
      </c>
    </row>
    <row r="117" spans="1:5" ht="15.5">
      <c r="A117" s="256" t="s">
        <v>115</v>
      </c>
      <c r="B117" s="257">
        <f>B118+B119+B120</f>
        <v>0</v>
      </c>
      <c r="C117" s="261">
        <f t="shared" si="4"/>
        <v>0</v>
      </c>
      <c r="D117" s="261">
        <f t="shared" si="5"/>
        <v>0</v>
      </c>
    </row>
    <row r="118" spans="1:5" ht="15.5">
      <c r="A118" s="262" t="s">
        <v>69</v>
      </c>
      <c r="B118" s="263">
        <v>0</v>
      </c>
      <c r="C118" s="260">
        <f t="shared" si="4"/>
        <v>0</v>
      </c>
      <c r="D118" s="260">
        <f t="shared" si="5"/>
        <v>0</v>
      </c>
    </row>
    <row r="119" spans="1:5" ht="15.5">
      <c r="A119" s="262" t="s">
        <v>70</v>
      </c>
      <c r="B119" s="263">
        <v>0</v>
      </c>
      <c r="C119" s="260">
        <f t="shared" si="4"/>
        <v>0</v>
      </c>
      <c r="D119" s="260">
        <f t="shared" si="5"/>
        <v>0</v>
      </c>
    </row>
    <row r="120" spans="1:5" ht="15.5">
      <c r="A120" s="262" t="s">
        <v>672</v>
      </c>
      <c r="B120" s="263"/>
      <c r="C120" s="260"/>
      <c r="D120" s="260"/>
    </row>
    <row r="121" spans="1:5" ht="15" customHeight="1">
      <c r="A121" s="256" t="s">
        <v>412</v>
      </c>
      <c r="B121" s="257">
        <f>B67+B72+B76+B79+B81+B83+B88+B91+B96+B100+B103+B105+B109+B111+B117</f>
        <v>22483026</v>
      </c>
      <c r="C121" s="257">
        <f t="shared" ref="C121:D121" si="6">C67+C72+C76+C79+C81+C83+C88+C91+C96+C100+C103+C105+C109+C111+C117</f>
        <v>23607177.300000001</v>
      </c>
      <c r="D121" s="257">
        <f t="shared" si="6"/>
        <v>24787536.164999999</v>
      </c>
    </row>
    <row r="122" spans="1:5" ht="15.5">
      <c r="A122" s="266" t="s">
        <v>672</v>
      </c>
      <c r="B122" s="267"/>
      <c r="C122" s="267"/>
      <c r="D122" s="268"/>
    </row>
    <row r="123" spans="1:5" ht="15" customHeight="1">
      <c r="A123" s="280" t="s">
        <v>419</v>
      </c>
      <c r="B123" s="281"/>
      <c r="C123" s="281"/>
      <c r="D123" s="282"/>
    </row>
    <row r="124" spans="1:5" ht="15.5">
      <c r="A124" s="625" t="s">
        <v>1207</v>
      </c>
      <c r="B124" s="283">
        <v>9797679</v>
      </c>
      <c r="C124" s="260">
        <f>B124*1.05</f>
        <v>10287562.950000001</v>
      </c>
      <c r="D124" s="260">
        <f>C124*1.05</f>
        <v>10801941.097500002</v>
      </c>
    </row>
    <row r="125" spans="1:5" ht="15.5">
      <c r="A125" s="258" t="s">
        <v>1206</v>
      </c>
      <c r="B125" s="259">
        <v>0</v>
      </c>
      <c r="C125" s="260">
        <f>B125*1.05</f>
        <v>0</v>
      </c>
      <c r="D125" s="260">
        <f>C125*1.05</f>
        <v>0</v>
      </c>
    </row>
    <row r="126" spans="1:5" ht="15.5">
      <c r="A126" s="624" t="s">
        <v>1205</v>
      </c>
      <c r="B126" s="263">
        <v>0</v>
      </c>
      <c r="C126" s="260">
        <f t="shared" ref="C126:D130" si="7">B126*1.05</f>
        <v>0</v>
      </c>
      <c r="D126" s="260">
        <f>1.05*C126</f>
        <v>0</v>
      </c>
    </row>
    <row r="127" spans="1:5" ht="15.5">
      <c r="A127" s="625" t="s">
        <v>1208</v>
      </c>
      <c r="B127" s="283">
        <f>-45000000+45000000</f>
        <v>0</v>
      </c>
      <c r="C127" s="260">
        <f t="shared" si="7"/>
        <v>0</v>
      </c>
      <c r="D127" s="260">
        <f>1.05*C127</f>
        <v>0</v>
      </c>
      <c r="E127" s="473">
        <v>45000000</v>
      </c>
    </row>
    <row r="128" spans="1:5" ht="15.5">
      <c r="A128" s="258" t="s">
        <v>1209</v>
      </c>
      <c r="B128" s="259">
        <v>0</v>
      </c>
      <c r="C128" s="260">
        <f t="shared" si="7"/>
        <v>0</v>
      </c>
      <c r="D128" s="260">
        <f t="shared" si="7"/>
        <v>0</v>
      </c>
    </row>
    <row r="129" spans="1:4" ht="15.5">
      <c r="A129" s="284" t="s">
        <v>413</v>
      </c>
      <c r="B129" s="285">
        <f>SUM(B124:B128)</f>
        <v>9797679</v>
      </c>
      <c r="C129" s="261">
        <f t="shared" si="7"/>
        <v>10287562.950000001</v>
      </c>
      <c r="D129" s="261">
        <f t="shared" si="7"/>
        <v>10801941.097500002</v>
      </c>
    </row>
    <row r="130" spans="1:4" ht="15" customHeight="1">
      <c r="A130" s="256" t="s">
        <v>415</v>
      </c>
      <c r="B130" s="257">
        <f>B121+B129</f>
        <v>32280705</v>
      </c>
      <c r="C130" s="261">
        <f t="shared" si="7"/>
        <v>33894740.25</v>
      </c>
      <c r="D130" s="261">
        <f t="shared" si="7"/>
        <v>35589477.262500003</v>
      </c>
    </row>
    <row r="131" spans="1:4" s="628" customFormat="1" ht="15.5">
      <c r="A131" s="626" t="s">
        <v>571</v>
      </c>
      <c r="B131" s="627"/>
      <c r="C131" s="627"/>
      <c r="D131" s="627"/>
    </row>
    <row r="132" spans="1:4" ht="46.5">
      <c r="A132" s="253" t="s">
        <v>776</v>
      </c>
      <c r="B132" s="254" t="s">
        <v>416</v>
      </c>
      <c r="C132" s="255" t="s">
        <v>417</v>
      </c>
      <c r="D132" s="255" t="s">
        <v>7</v>
      </c>
    </row>
    <row r="133" spans="1:4" ht="15.5">
      <c r="A133" s="256" t="s">
        <v>777</v>
      </c>
      <c r="B133" s="257">
        <f>B134</f>
        <v>0</v>
      </c>
      <c r="C133" s="261">
        <f>B133*1.05</f>
        <v>0</v>
      </c>
      <c r="D133" s="261">
        <f>C133*1.05</f>
        <v>0</v>
      </c>
    </row>
    <row r="134" spans="1:4" ht="15.5">
      <c r="A134" s="258" t="s">
        <v>778</v>
      </c>
      <c r="B134" s="259"/>
      <c r="C134" s="260">
        <f t="shared" ref="C134:C181" si="8">B134*1.05</f>
        <v>0</v>
      </c>
      <c r="D134" s="260">
        <f t="shared" ref="D134:D181" si="9">1.05*C134</f>
        <v>0</v>
      </c>
    </row>
    <row r="135" spans="1:4" ht="15.5">
      <c r="A135" s="256" t="s">
        <v>668</v>
      </c>
      <c r="B135" s="257">
        <v>0</v>
      </c>
      <c r="C135" s="260">
        <f t="shared" si="8"/>
        <v>0</v>
      </c>
      <c r="D135" s="260">
        <f t="shared" si="9"/>
        <v>0</v>
      </c>
    </row>
    <row r="136" spans="1:4" ht="15.5">
      <c r="A136" s="258" t="s">
        <v>712</v>
      </c>
      <c r="B136" s="259">
        <v>0</v>
      </c>
      <c r="C136" s="260">
        <f t="shared" si="8"/>
        <v>0</v>
      </c>
      <c r="D136" s="260">
        <f t="shared" si="9"/>
        <v>0</v>
      </c>
    </row>
    <row r="137" spans="1:4" ht="15.5">
      <c r="A137" s="258" t="s">
        <v>747</v>
      </c>
      <c r="B137" s="259">
        <v>0</v>
      </c>
      <c r="C137" s="260">
        <f t="shared" si="8"/>
        <v>0</v>
      </c>
      <c r="D137" s="260">
        <f t="shared" si="9"/>
        <v>0</v>
      </c>
    </row>
    <row r="138" spans="1:4" ht="15.5">
      <c r="A138" s="256" t="s">
        <v>748</v>
      </c>
      <c r="B138" s="257">
        <f>B139+B140</f>
        <v>0</v>
      </c>
      <c r="C138" s="260">
        <f t="shared" si="8"/>
        <v>0</v>
      </c>
      <c r="D138" s="260">
        <f t="shared" si="9"/>
        <v>0</v>
      </c>
    </row>
    <row r="139" spans="1:4" ht="15.5">
      <c r="A139" s="258" t="s">
        <v>714</v>
      </c>
      <c r="B139" s="259"/>
      <c r="C139" s="260">
        <f t="shared" si="8"/>
        <v>0</v>
      </c>
      <c r="D139" s="260">
        <f t="shared" si="9"/>
        <v>0</v>
      </c>
    </row>
    <row r="140" spans="1:4" ht="15.5">
      <c r="A140" s="258" t="s">
        <v>749</v>
      </c>
      <c r="B140" s="259"/>
      <c r="C140" s="260">
        <f t="shared" si="8"/>
        <v>0</v>
      </c>
      <c r="D140" s="260">
        <f t="shared" si="9"/>
        <v>0</v>
      </c>
    </row>
    <row r="141" spans="1:4" ht="15.5">
      <c r="A141" s="256" t="s">
        <v>750</v>
      </c>
      <c r="B141" s="257">
        <f>B142</f>
        <v>0</v>
      </c>
      <c r="C141" s="260">
        <f t="shared" si="8"/>
        <v>0</v>
      </c>
      <c r="D141" s="260">
        <f t="shared" si="9"/>
        <v>0</v>
      </c>
    </row>
    <row r="142" spans="1:4" ht="15.5">
      <c r="A142" s="258" t="s">
        <v>751</v>
      </c>
      <c r="B142" s="259"/>
      <c r="C142" s="261">
        <f t="shared" si="8"/>
        <v>0</v>
      </c>
      <c r="D142" s="260">
        <f t="shared" si="9"/>
        <v>0</v>
      </c>
    </row>
    <row r="143" spans="1:4" ht="15.5">
      <c r="A143" s="256" t="s">
        <v>421</v>
      </c>
      <c r="B143" s="257">
        <f>B144</f>
        <v>0</v>
      </c>
      <c r="C143" s="257">
        <f>C144</f>
        <v>0</v>
      </c>
      <c r="D143" s="257">
        <f>D144</f>
        <v>0</v>
      </c>
    </row>
    <row r="144" spans="1:4" ht="15.5">
      <c r="A144" s="258" t="s">
        <v>422</v>
      </c>
      <c r="B144" s="259"/>
      <c r="C144" s="260">
        <f>B144*1.05</f>
        <v>0</v>
      </c>
      <c r="D144" s="260">
        <f>C144*1.05</f>
        <v>0</v>
      </c>
    </row>
    <row r="145" spans="1:4" ht="15.5">
      <c r="A145" s="256" t="s">
        <v>29</v>
      </c>
      <c r="B145" s="257">
        <f>B146</f>
        <v>20000</v>
      </c>
      <c r="C145" s="261">
        <f t="shared" si="8"/>
        <v>21000</v>
      </c>
      <c r="D145" s="261">
        <f t="shared" si="9"/>
        <v>22050</v>
      </c>
    </row>
    <row r="146" spans="1:4" ht="15.5">
      <c r="A146" s="262" t="s">
        <v>31</v>
      </c>
      <c r="B146" s="263">
        <v>20000</v>
      </c>
      <c r="C146" s="260">
        <f t="shared" si="8"/>
        <v>21000</v>
      </c>
      <c r="D146" s="260">
        <f t="shared" si="9"/>
        <v>22050</v>
      </c>
    </row>
    <row r="147" spans="1:4" ht="15.5">
      <c r="A147" s="256" t="s">
        <v>32</v>
      </c>
      <c r="B147" s="257">
        <f>B148</f>
        <v>22500</v>
      </c>
      <c r="C147" s="261">
        <f t="shared" si="8"/>
        <v>23625</v>
      </c>
      <c r="D147" s="261">
        <f t="shared" si="9"/>
        <v>24806.25</v>
      </c>
    </row>
    <row r="148" spans="1:4" ht="15.5">
      <c r="A148" s="262" t="s">
        <v>754</v>
      </c>
      <c r="B148" s="263">
        <v>22500</v>
      </c>
      <c r="C148" s="260">
        <f t="shared" si="8"/>
        <v>23625</v>
      </c>
      <c r="D148" s="260">
        <f t="shared" si="9"/>
        <v>24806.25</v>
      </c>
    </row>
    <row r="149" spans="1:4" ht="15.5">
      <c r="A149" s="256" t="s">
        <v>36</v>
      </c>
      <c r="B149" s="257">
        <f>B150+B151+B152+B153</f>
        <v>4022922</v>
      </c>
      <c r="C149" s="261">
        <f>C150+C151+C152+C153</f>
        <v>4224068.0999999996</v>
      </c>
      <c r="D149" s="261">
        <f>D150+D151+D152+D153</f>
        <v>4435271.5049999999</v>
      </c>
    </row>
    <row r="150" spans="1:4" ht="15.5">
      <c r="A150" s="262" t="s">
        <v>779</v>
      </c>
      <c r="B150" s="263">
        <v>130000</v>
      </c>
      <c r="C150" s="260">
        <f t="shared" si="8"/>
        <v>136500</v>
      </c>
      <c r="D150" s="260">
        <f t="shared" si="9"/>
        <v>143325</v>
      </c>
    </row>
    <row r="151" spans="1:4" ht="15.5">
      <c r="A151" s="262" t="s">
        <v>756</v>
      </c>
      <c r="B151" s="263">
        <v>764612</v>
      </c>
      <c r="C151" s="260">
        <f t="shared" si="8"/>
        <v>802842.6</v>
      </c>
      <c r="D151" s="260">
        <f t="shared" si="9"/>
        <v>842984.73</v>
      </c>
    </row>
    <row r="152" spans="1:4" ht="15.5">
      <c r="A152" s="262" t="s">
        <v>700</v>
      </c>
      <c r="B152" s="263">
        <v>1329200</v>
      </c>
      <c r="C152" s="260">
        <f t="shared" si="8"/>
        <v>1395660</v>
      </c>
      <c r="D152" s="260">
        <f t="shared" si="9"/>
        <v>1465443</v>
      </c>
    </row>
    <row r="153" spans="1:4" ht="15.5">
      <c r="A153" s="262" t="s">
        <v>40</v>
      </c>
      <c r="B153" s="263">
        <v>1799110</v>
      </c>
      <c r="C153" s="260">
        <f t="shared" si="8"/>
        <v>1889065.5</v>
      </c>
      <c r="D153" s="261">
        <f t="shared" si="9"/>
        <v>1983518.7750000001</v>
      </c>
    </row>
    <row r="154" spans="1:4" ht="15.5">
      <c r="A154" s="256" t="s">
        <v>91</v>
      </c>
      <c r="B154" s="257">
        <f>B155</f>
        <v>350000</v>
      </c>
      <c r="C154" s="261">
        <f t="shared" si="8"/>
        <v>367500</v>
      </c>
      <c r="D154" s="261">
        <f t="shared" si="9"/>
        <v>385875</v>
      </c>
    </row>
    <row r="155" spans="1:4" ht="15.5">
      <c r="A155" s="262" t="s">
        <v>757</v>
      </c>
      <c r="B155" s="263">
        <v>350000</v>
      </c>
      <c r="C155" s="260">
        <f t="shared" si="8"/>
        <v>367500</v>
      </c>
      <c r="D155" s="260">
        <f t="shared" si="9"/>
        <v>385875</v>
      </c>
    </row>
    <row r="156" spans="1:4" ht="15.5">
      <c r="A156" s="256" t="s">
        <v>47</v>
      </c>
      <c r="B156" s="257">
        <f>B157+B158+B159</f>
        <v>1272405</v>
      </c>
      <c r="C156" s="261">
        <f t="shared" si="8"/>
        <v>1336025.25</v>
      </c>
      <c r="D156" s="261">
        <f t="shared" si="9"/>
        <v>1402826.5125</v>
      </c>
    </row>
    <row r="157" spans="1:4" ht="15.5">
      <c r="A157" s="262" t="s">
        <v>759</v>
      </c>
      <c r="B157" s="263">
        <v>713987</v>
      </c>
      <c r="C157" s="260">
        <f t="shared" si="8"/>
        <v>749686.35</v>
      </c>
      <c r="D157" s="260">
        <f t="shared" si="9"/>
        <v>787170.66749999998</v>
      </c>
    </row>
    <row r="158" spans="1:4" ht="15.5">
      <c r="A158" s="262" t="s">
        <v>703</v>
      </c>
      <c r="B158" s="263"/>
      <c r="C158" s="260">
        <f t="shared" si="8"/>
        <v>0</v>
      </c>
      <c r="D158" s="260">
        <f t="shared" si="9"/>
        <v>0</v>
      </c>
    </row>
    <row r="159" spans="1:4" ht="15.5">
      <c r="A159" s="262" t="s">
        <v>702</v>
      </c>
      <c r="B159" s="263">
        <v>558418</v>
      </c>
      <c r="C159" s="260">
        <f t="shared" si="8"/>
        <v>586338.9</v>
      </c>
      <c r="D159" s="260">
        <f t="shared" si="9"/>
        <v>615655.84500000009</v>
      </c>
    </row>
    <row r="160" spans="1:4" ht="15.5">
      <c r="A160" s="256" t="s">
        <v>49</v>
      </c>
      <c r="B160" s="257">
        <f>B161+B162</f>
        <v>1911744</v>
      </c>
      <c r="C160" s="261">
        <f t="shared" si="8"/>
        <v>2007331.2000000002</v>
      </c>
      <c r="D160" s="261">
        <f t="shared" si="9"/>
        <v>2107697.7600000002</v>
      </c>
    </row>
    <row r="161" spans="1:4" ht="15.5">
      <c r="A161" s="262" t="s">
        <v>760</v>
      </c>
      <c r="B161" s="263">
        <v>708544</v>
      </c>
      <c r="C161" s="260">
        <f t="shared" si="8"/>
        <v>743971.20000000007</v>
      </c>
      <c r="D161" s="260">
        <f t="shared" si="9"/>
        <v>781169.76000000013</v>
      </c>
    </row>
    <row r="162" spans="1:4" ht="15.5">
      <c r="A162" s="262" t="s">
        <v>761</v>
      </c>
      <c r="B162" s="263">
        <v>1203200</v>
      </c>
      <c r="C162" s="260">
        <f t="shared" si="8"/>
        <v>1263360</v>
      </c>
      <c r="D162" s="260">
        <f t="shared" si="9"/>
        <v>1326528</v>
      </c>
    </row>
    <row r="163" spans="1:4" ht="15.5">
      <c r="A163" s="256" t="s">
        <v>677</v>
      </c>
      <c r="B163" s="257">
        <f>SUM(B164:B167)</f>
        <v>0</v>
      </c>
      <c r="C163" s="261">
        <f t="shared" si="8"/>
        <v>0</v>
      </c>
      <c r="D163" s="261">
        <f t="shared" si="9"/>
        <v>0</v>
      </c>
    </row>
    <row r="164" spans="1:4" ht="15.5">
      <c r="A164" s="262" t="s">
        <v>780</v>
      </c>
      <c r="B164" s="263">
        <v>0</v>
      </c>
      <c r="C164" s="260">
        <f t="shared" si="8"/>
        <v>0</v>
      </c>
      <c r="D164" s="260">
        <f t="shared" si="9"/>
        <v>0</v>
      </c>
    </row>
    <row r="165" spans="1:4" ht="15.5">
      <c r="A165" s="262" t="s">
        <v>781</v>
      </c>
      <c r="B165" s="263">
        <v>0</v>
      </c>
      <c r="C165" s="260">
        <f t="shared" si="8"/>
        <v>0</v>
      </c>
      <c r="D165" s="260">
        <f t="shared" si="9"/>
        <v>0</v>
      </c>
    </row>
    <row r="166" spans="1:4" ht="15.5">
      <c r="A166" s="262" t="s">
        <v>782</v>
      </c>
      <c r="B166" s="263">
        <v>0</v>
      </c>
      <c r="C166" s="260">
        <f t="shared" si="8"/>
        <v>0</v>
      </c>
      <c r="D166" s="260">
        <f t="shared" si="9"/>
        <v>0</v>
      </c>
    </row>
    <row r="167" spans="1:4" ht="15.5">
      <c r="A167" s="262" t="s">
        <v>720</v>
      </c>
      <c r="B167" s="263">
        <v>0</v>
      </c>
      <c r="C167" s="260">
        <f t="shared" si="8"/>
        <v>0</v>
      </c>
      <c r="D167" s="260">
        <f t="shared" si="9"/>
        <v>0</v>
      </c>
    </row>
    <row r="168" spans="1:4" ht="15.5">
      <c r="A168" s="256" t="s">
        <v>55</v>
      </c>
      <c r="B168" s="257">
        <f>B169+B170</f>
        <v>586000</v>
      </c>
      <c r="C168" s="261">
        <f t="shared" si="8"/>
        <v>615300</v>
      </c>
      <c r="D168" s="261">
        <f t="shared" si="9"/>
        <v>646065</v>
      </c>
    </row>
    <row r="169" spans="1:4" ht="15.5">
      <c r="A169" s="262" t="s">
        <v>762</v>
      </c>
      <c r="B169" s="263">
        <v>490000</v>
      </c>
      <c r="C169" s="260">
        <f>B169*1.05</f>
        <v>514500</v>
      </c>
      <c r="D169" s="260">
        <f t="shared" si="9"/>
        <v>540225</v>
      </c>
    </row>
    <row r="170" spans="1:4" ht="15.5">
      <c r="A170" s="262" t="s">
        <v>167</v>
      </c>
      <c r="B170" s="263">
        <v>96000</v>
      </c>
      <c r="C170" s="260">
        <f t="shared" si="8"/>
        <v>100800</v>
      </c>
      <c r="D170" s="260">
        <f t="shared" si="9"/>
        <v>105840</v>
      </c>
    </row>
    <row r="171" spans="1:4" ht="15.5">
      <c r="A171" s="256" t="s">
        <v>58</v>
      </c>
      <c r="B171" s="257">
        <f>B172</f>
        <v>966418</v>
      </c>
      <c r="C171" s="261">
        <f t="shared" si="8"/>
        <v>1014738.9</v>
      </c>
      <c r="D171" s="261">
        <f t="shared" si="9"/>
        <v>1065475.845</v>
      </c>
    </row>
    <row r="172" spans="1:4" ht="15.5">
      <c r="A172" s="262" t="s">
        <v>59</v>
      </c>
      <c r="B172" s="263">
        <v>966418</v>
      </c>
      <c r="C172" s="260">
        <f t="shared" si="8"/>
        <v>1014738.9</v>
      </c>
      <c r="D172" s="260">
        <f t="shared" si="9"/>
        <v>1065475.845</v>
      </c>
    </row>
    <row r="173" spans="1:4" ht="15.5">
      <c r="A173" s="256" t="s">
        <v>60</v>
      </c>
      <c r="B173" s="257">
        <f>SUM(B174:B177)</f>
        <v>5703261</v>
      </c>
      <c r="C173" s="261">
        <f t="shared" si="8"/>
        <v>5988424.0499999998</v>
      </c>
      <c r="D173" s="261">
        <f t="shared" si="9"/>
        <v>6287845.2525000004</v>
      </c>
    </row>
    <row r="174" spans="1:4" ht="15.5">
      <c r="A174" s="262" t="s">
        <v>61</v>
      </c>
      <c r="B174" s="263">
        <v>220200</v>
      </c>
      <c r="C174" s="260">
        <f t="shared" si="8"/>
        <v>231210</v>
      </c>
      <c r="D174" s="260">
        <f t="shared" si="9"/>
        <v>242770.5</v>
      </c>
    </row>
    <row r="175" spans="1:4" ht="15.5">
      <c r="A175" s="262" t="s">
        <v>54</v>
      </c>
      <c r="B175" s="263">
        <v>120000</v>
      </c>
      <c r="C175" s="260">
        <f t="shared" si="8"/>
        <v>126000</v>
      </c>
      <c r="D175" s="260">
        <f t="shared" si="9"/>
        <v>132300</v>
      </c>
    </row>
    <row r="176" spans="1:4" ht="15.5">
      <c r="A176" s="262" t="s">
        <v>783</v>
      </c>
      <c r="B176" s="263">
        <v>3839581</v>
      </c>
      <c r="C176" s="260">
        <f t="shared" si="8"/>
        <v>4031560.0500000003</v>
      </c>
      <c r="D176" s="260">
        <f t="shared" si="9"/>
        <v>4233138.0525000002</v>
      </c>
    </row>
    <row r="177" spans="1:4" ht="15.5">
      <c r="A177" s="262" t="s">
        <v>107</v>
      </c>
      <c r="B177" s="263">
        <v>1523480</v>
      </c>
      <c r="C177" s="260">
        <f t="shared" si="8"/>
        <v>1599654</v>
      </c>
      <c r="D177" s="260">
        <f t="shared" si="9"/>
        <v>1679636.7000000002</v>
      </c>
    </row>
    <row r="178" spans="1:4" ht="15.5">
      <c r="A178" s="256" t="s">
        <v>64</v>
      </c>
      <c r="B178" s="257">
        <f>B179</f>
        <v>580370</v>
      </c>
      <c r="C178" s="261">
        <f t="shared" si="8"/>
        <v>609388.5</v>
      </c>
      <c r="D178" s="261">
        <f t="shared" si="9"/>
        <v>639857.92500000005</v>
      </c>
    </row>
    <row r="179" spans="1:4" ht="15.5">
      <c r="A179" s="262" t="s">
        <v>65</v>
      </c>
      <c r="B179" s="263">
        <v>580370</v>
      </c>
      <c r="C179" s="260">
        <f t="shared" si="8"/>
        <v>609388.5</v>
      </c>
      <c r="D179" s="260">
        <f t="shared" si="9"/>
        <v>639857.92500000005</v>
      </c>
    </row>
    <row r="180" spans="1:4" ht="15.5">
      <c r="A180" s="256" t="s">
        <v>115</v>
      </c>
      <c r="B180" s="257">
        <f>B181</f>
        <v>180000</v>
      </c>
      <c r="C180" s="257">
        <f t="shared" ref="C180:D180" si="10">C181</f>
        <v>189000</v>
      </c>
      <c r="D180" s="257">
        <f t="shared" si="10"/>
        <v>198450</v>
      </c>
    </row>
    <row r="181" spans="1:4" ht="15.5">
      <c r="A181" s="262" t="s">
        <v>70</v>
      </c>
      <c r="B181" s="263">
        <v>180000</v>
      </c>
      <c r="C181" s="260">
        <f t="shared" si="8"/>
        <v>189000</v>
      </c>
      <c r="D181" s="260">
        <f t="shared" si="9"/>
        <v>198450</v>
      </c>
    </row>
    <row r="182" spans="1:4" ht="15" customHeight="1">
      <c r="A182" s="256" t="s">
        <v>412</v>
      </c>
      <c r="B182" s="257">
        <f>B133+B138+B141+B143+B145+B147+B149+B154+B156+B160+B168+B171+B173+B178+B180</f>
        <v>15615620</v>
      </c>
      <c r="C182" s="261">
        <f>B182*1.05</f>
        <v>16396401</v>
      </c>
      <c r="D182" s="261">
        <f>C182*1.05</f>
        <v>17216221.050000001</v>
      </c>
    </row>
    <row r="183" spans="1:4" ht="15.5">
      <c r="A183" s="256" t="s">
        <v>672</v>
      </c>
      <c r="B183" s="257"/>
      <c r="C183" s="261"/>
      <c r="D183" s="261"/>
    </row>
    <row r="184" spans="1:4" ht="15" customHeight="1">
      <c r="A184" s="286" t="s">
        <v>419</v>
      </c>
      <c r="B184" s="287"/>
      <c r="C184" s="287"/>
      <c r="D184" s="288"/>
    </row>
    <row r="185" spans="1:4" ht="15.5">
      <c r="A185" s="258" t="s">
        <v>775</v>
      </c>
      <c r="B185" s="259"/>
      <c r="C185" s="260">
        <f t="shared" ref="C185:D186" si="11">B185*1.05</f>
        <v>0</v>
      </c>
      <c r="D185" s="260">
        <f t="shared" si="11"/>
        <v>0</v>
      </c>
    </row>
    <row r="186" spans="1:4" ht="15.5">
      <c r="A186" s="258" t="s">
        <v>784</v>
      </c>
      <c r="B186" s="259">
        <v>40000000</v>
      </c>
      <c r="C186" s="260">
        <f t="shared" si="11"/>
        <v>42000000</v>
      </c>
      <c r="D186" s="260">
        <f t="shared" si="11"/>
        <v>44100000</v>
      </c>
    </row>
    <row r="187" spans="1:4" ht="15.5">
      <c r="A187" s="256" t="s">
        <v>413</v>
      </c>
      <c r="B187" s="257">
        <f>SUM(B185:B186)</f>
        <v>40000000</v>
      </c>
      <c r="C187" s="257">
        <f>SUM(C185:C186)</f>
        <v>42000000</v>
      </c>
      <c r="D187" s="257">
        <f>SUM(D185:D186)</f>
        <v>44100000</v>
      </c>
    </row>
    <row r="188" spans="1:4" ht="15" customHeight="1">
      <c r="A188" s="272" t="s">
        <v>415</v>
      </c>
      <c r="B188" s="273">
        <f>B182+B187</f>
        <v>55615620</v>
      </c>
      <c r="C188" s="273">
        <f>C182+C187</f>
        <v>58396401</v>
      </c>
      <c r="D188" s="273">
        <f>D182+D187</f>
        <v>61316221.049999997</v>
      </c>
    </row>
    <row r="189" spans="1:4" ht="15.5">
      <c r="A189" s="289" t="s">
        <v>360</v>
      </c>
      <c r="B189" s="290">
        <f>B188+B130+B64</f>
        <v>261749120.46737602</v>
      </c>
      <c r="C189" s="290">
        <f>C188+C130+C64</f>
        <v>274836576.49074483</v>
      </c>
      <c r="D189" s="290">
        <f>D188+D130+D64</f>
        <v>288578405.31528205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4"/>
  <sheetViews>
    <sheetView topLeftCell="A334" zoomScale="120" zoomScaleNormal="120" workbookViewId="0">
      <selection activeCell="C347" sqref="C347"/>
    </sheetView>
  </sheetViews>
  <sheetFormatPr defaultRowHeight="14.5"/>
  <cols>
    <col min="1" max="1" width="19.7265625" customWidth="1"/>
    <col min="2" max="2" width="46.36328125" customWidth="1"/>
    <col min="3" max="3" width="14.81640625" customWidth="1"/>
    <col min="4" max="4" width="15.36328125" customWidth="1"/>
    <col min="5" max="5" width="25" customWidth="1"/>
    <col min="6" max="6" width="12.6328125" customWidth="1"/>
  </cols>
  <sheetData>
    <row r="1" spans="1:6" ht="15.5">
      <c r="A1" s="734" t="s">
        <v>242</v>
      </c>
      <c r="B1" s="734"/>
      <c r="C1" s="734"/>
      <c r="D1" s="734"/>
      <c r="E1" s="734"/>
    </row>
    <row r="2" spans="1:6" ht="15.5">
      <c r="A2" s="1" t="s">
        <v>573</v>
      </c>
      <c r="B2" s="1"/>
      <c r="C2" s="1"/>
      <c r="D2" s="1"/>
      <c r="E2" s="1"/>
    </row>
    <row r="3" spans="1:6" ht="15.5">
      <c r="A3" s="2" t="s">
        <v>243</v>
      </c>
      <c r="B3" s="2"/>
      <c r="C3" s="2"/>
      <c r="D3" s="2"/>
      <c r="E3" s="1"/>
    </row>
    <row r="4" spans="1:6" ht="15.5">
      <c r="A4" s="3"/>
      <c r="B4" s="3"/>
      <c r="C4" s="735" t="s">
        <v>244</v>
      </c>
      <c r="D4" s="736"/>
      <c r="E4" s="737"/>
    </row>
    <row r="5" spans="1:6" ht="46.5">
      <c r="A5" s="81" t="s">
        <v>245</v>
      </c>
      <c r="B5" s="81" t="s">
        <v>184</v>
      </c>
      <c r="C5" s="82" t="s">
        <v>246</v>
      </c>
      <c r="D5" s="83" t="s">
        <v>247</v>
      </c>
      <c r="E5" s="83" t="s">
        <v>188</v>
      </c>
    </row>
    <row r="6" spans="1:6" ht="15.5">
      <c r="A6" s="7"/>
      <c r="B6" s="7"/>
      <c r="C6" s="6" t="s">
        <v>248</v>
      </c>
      <c r="D6" s="6" t="s">
        <v>248</v>
      </c>
      <c r="E6" s="6" t="s">
        <v>248</v>
      </c>
    </row>
    <row r="7" spans="1:6" ht="31">
      <c r="A7" s="7" t="s">
        <v>249</v>
      </c>
      <c r="B7" s="7" t="s">
        <v>189</v>
      </c>
      <c r="C7" s="8">
        <f>C8+C9</f>
        <v>2832000</v>
      </c>
      <c r="D7" s="8">
        <f>D8+D9</f>
        <v>2973600</v>
      </c>
      <c r="E7" s="8">
        <f>E8+E9</f>
        <v>3122280</v>
      </c>
    </row>
    <row r="8" spans="1:6" ht="15.5">
      <c r="A8" s="9"/>
      <c r="B8" s="9" t="s">
        <v>190</v>
      </c>
      <c r="C8" s="10">
        <v>1488000</v>
      </c>
      <c r="D8" s="11">
        <f>1.05*C8</f>
        <v>1562400</v>
      </c>
      <c r="E8" s="11">
        <f>1.05*D8</f>
        <v>1640520</v>
      </c>
    </row>
    <row r="9" spans="1:6" ht="15.5">
      <c r="A9" s="9"/>
      <c r="B9" s="9" t="s">
        <v>250</v>
      </c>
      <c r="C9" s="10">
        <v>1344000</v>
      </c>
      <c r="D9" s="11">
        <f>1.05*C9</f>
        <v>1411200</v>
      </c>
      <c r="E9" s="11">
        <f>1.05*D9</f>
        <v>1481760</v>
      </c>
    </row>
    <row r="10" spans="1:6" ht="31">
      <c r="A10" s="9"/>
      <c r="B10" s="7" t="s">
        <v>251</v>
      </c>
      <c r="C10" s="8">
        <f>C11+C12</f>
        <v>708000</v>
      </c>
      <c r="D10" s="8">
        <f t="shared" ref="D10:E10" si="0">D11+D12</f>
        <v>743400</v>
      </c>
      <c r="E10" s="8">
        <f t="shared" si="0"/>
        <v>780570</v>
      </c>
    </row>
    <row r="11" spans="1:6" ht="15.5">
      <c r="A11" s="9"/>
      <c r="B11" s="9" t="s">
        <v>252</v>
      </c>
      <c r="C11" s="10">
        <v>600000</v>
      </c>
      <c r="D11" s="11">
        <f>1.05*C11</f>
        <v>630000</v>
      </c>
      <c r="E11" s="11">
        <f>1.05*D11</f>
        <v>661500</v>
      </c>
    </row>
    <row r="12" spans="1:6" ht="15.5">
      <c r="A12" s="9"/>
      <c r="B12" s="9" t="s">
        <v>253</v>
      </c>
      <c r="C12" s="10">
        <v>108000</v>
      </c>
      <c r="D12" s="11">
        <f>1.05*C12</f>
        <v>113400</v>
      </c>
      <c r="E12" s="11">
        <f>1.05*D12</f>
        <v>119070</v>
      </c>
    </row>
    <row r="13" spans="1:6" ht="31">
      <c r="A13" s="9"/>
      <c r="B13" s="7" t="s">
        <v>191</v>
      </c>
      <c r="C13" s="8">
        <f>C14+C15+C16+C17</f>
        <v>7321539</v>
      </c>
      <c r="D13" s="8">
        <f>D14+D15+D16+D17</f>
        <v>7687615.9500000002</v>
      </c>
      <c r="E13" s="8">
        <f>E14+E15+E16+E17</f>
        <v>8071996.7475000005</v>
      </c>
    </row>
    <row r="14" spans="1:6" ht="31">
      <c r="A14" s="9"/>
      <c r="B14" s="9" t="s">
        <v>192</v>
      </c>
      <c r="C14" s="10">
        <v>1500000</v>
      </c>
      <c r="D14" s="11">
        <f>1.05*C14</f>
        <v>1575000</v>
      </c>
      <c r="E14" s="11">
        <f>1.05*D14</f>
        <v>1653750</v>
      </c>
    </row>
    <row r="15" spans="1:6" ht="15.5">
      <c r="A15" s="9"/>
      <c r="B15" s="9" t="s">
        <v>194</v>
      </c>
      <c r="C15" s="629">
        <v>2592439</v>
      </c>
      <c r="D15" s="11">
        <f t="shared" ref="D15:E17" si="1">1.05*C15</f>
        <v>2722060.95</v>
      </c>
      <c r="E15" s="11">
        <f t="shared" si="1"/>
        <v>2858163.9975000005</v>
      </c>
      <c r="F15">
        <v>-712038.12641334534</v>
      </c>
    </row>
    <row r="16" spans="1:6" ht="15.5">
      <c r="A16" s="9"/>
      <c r="B16" s="9" t="s">
        <v>254</v>
      </c>
      <c r="C16" s="629">
        <v>837900</v>
      </c>
      <c r="D16" s="11">
        <f t="shared" si="1"/>
        <v>879795</v>
      </c>
      <c r="E16" s="11">
        <f t="shared" si="1"/>
        <v>923784.75</v>
      </c>
    </row>
    <row r="17" spans="1:5" ht="15.5">
      <c r="A17" s="9"/>
      <c r="B17" s="9" t="s">
        <v>232</v>
      </c>
      <c r="C17" s="629">
        <v>2391200</v>
      </c>
      <c r="D17" s="11">
        <f t="shared" si="1"/>
        <v>2510760</v>
      </c>
      <c r="E17" s="11">
        <f t="shared" si="1"/>
        <v>2636298</v>
      </c>
    </row>
    <row r="18" spans="1:5" ht="31">
      <c r="A18" s="9"/>
      <c r="B18" s="7" t="s">
        <v>195</v>
      </c>
      <c r="C18" s="8">
        <f>C19+C20+C21</f>
        <v>630400</v>
      </c>
      <c r="D18" s="8">
        <f>D19+D20+D21</f>
        <v>661920</v>
      </c>
      <c r="E18" s="8">
        <f>E19+E20+E21</f>
        <v>695016</v>
      </c>
    </row>
    <row r="19" spans="1:5" ht="15.5">
      <c r="A19" s="9"/>
      <c r="B19" s="9" t="s">
        <v>233</v>
      </c>
      <c r="C19" s="10">
        <v>68000</v>
      </c>
      <c r="D19" s="11">
        <f t="shared" ref="D19:E21" si="2">1.05*C19</f>
        <v>71400</v>
      </c>
      <c r="E19" s="11">
        <f t="shared" si="2"/>
        <v>74970</v>
      </c>
    </row>
    <row r="20" spans="1:5" ht="31">
      <c r="A20" s="9"/>
      <c r="B20" s="9" t="s">
        <v>255</v>
      </c>
      <c r="C20" s="10">
        <v>62400</v>
      </c>
      <c r="D20" s="11">
        <f t="shared" si="2"/>
        <v>65520</v>
      </c>
      <c r="E20" s="11">
        <f t="shared" si="2"/>
        <v>68796</v>
      </c>
    </row>
    <row r="21" spans="1:5" ht="31">
      <c r="A21" s="9"/>
      <c r="B21" s="9" t="s">
        <v>196</v>
      </c>
      <c r="C21" s="10">
        <v>500000</v>
      </c>
      <c r="D21" s="11">
        <f t="shared" si="2"/>
        <v>525000</v>
      </c>
      <c r="E21" s="11">
        <f t="shared" si="2"/>
        <v>551250</v>
      </c>
    </row>
    <row r="22" spans="1:5" ht="15.5">
      <c r="A22" s="9"/>
      <c r="B22" s="7" t="s">
        <v>256</v>
      </c>
      <c r="C22" s="8">
        <f>C23</f>
        <v>2600000</v>
      </c>
      <c r="D22" s="8">
        <f>D23</f>
        <v>2730000</v>
      </c>
      <c r="E22" s="8">
        <f>E23</f>
        <v>2866500</v>
      </c>
    </row>
    <row r="23" spans="1:5" ht="15.5">
      <c r="A23" s="9"/>
      <c r="B23" s="9" t="s">
        <v>257</v>
      </c>
      <c r="C23" s="10">
        <v>2600000</v>
      </c>
      <c r="D23" s="11">
        <f>1.05*C23</f>
        <v>2730000</v>
      </c>
      <c r="E23" s="11">
        <f>1.05*D23</f>
        <v>2866500</v>
      </c>
    </row>
    <row r="24" spans="1:5" ht="15.5">
      <c r="A24" s="9"/>
      <c r="B24" s="7" t="s">
        <v>258</v>
      </c>
      <c r="C24" s="8">
        <f>C25+C26+C27</f>
        <v>2021700</v>
      </c>
      <c r="D24" s="8">
        <f>D25+D26+D27</f>
        <v>0</v>
      </c>
      <c r="E24" s="8">
        <f>E25+E26+E27</f>
        <v>0</v>
      </c>
    </row>
    <row r="25" spans="1:5" ht="15.5">
      <c r="A25" s="9"/>
      <c r="B25" s="9" t="s">
        <v>259</v>
      </c>
      <c r="C25" s="629">
        <v>295000</v>
      </c>
      <c r="D25" s="10">
        <v>0</v>
      </c>
      <c r="E25" s="10">
        <v>0</v>
      </c>
    </row>
    <row r="26" spans="1:5" ht="15.5">
      <c r="A26" s="9"/>
      <c r="B26" s="9" t="s">
        <v>260</v>
      </c>
      <c r="C26" s="629">
        <v>1106700</v>
      </c>
      <c r="D26" s="10">
        <v>0</v>
      </c>
      <c r="E26" s="10">
        <v>0</v>
      </c>
    </row>
    <row r="27" spans="1:5" ht="15.5">
      <c r="A27" s="9"/>
      <c r="B27" s="9" t="s">
        <v>261</v>
      </c>
      <c r="C27" s="629">
        <v>620000</v>
      </c>
      <c r="D27" s="10">
        <v>0</v>
      </c>
      <c r="E27" s="10">
        <v>0</v>
      </c>
    </row>
    <row r="28" spans="1:5" ht="15.5">
      <c r="A28" s="9"/>
      <c r="B28" s="7" t="s">
        <v>200</v>
      </c>
      <c r="C28" s="8">
        <f>C29+C30</f>
        <v>2306870</v>
      </c>
      <c r="D28" s="8">
        <f>D29+D30</f>
        <v>2422213.5</v>
      </c>
      <c r="E28" s="8">
        <f>E29+E30</f>
        <v>2543324.1749999998</v>
      </c>
    </row>
    <row r="29" spans="1:5" ht="31">
      <c r="A29" s="9"/>
      <c r="B29" s="9" t="s">
        <v>201</v>
      </c>
      <c r="C29" s="10">
        <v>1443000</v>
      </c>
      <c r="D29" s="11">
        <f>1.05*C29</f>
        <v>1515150</v>
      </c>
      <c r="E29" s="11">
        <f>1.05*D29</f>
        <v>1590907.5</v>
      </c>
    </row>
    <row r="30" spans="1:5" ht="31">
      <c r="A30" s="9"/>
      <c r="B30" s="9" t="s">
        <v>202</v>
      </c>
      <c r="C30" s="629">
        <v>863870</v>
      </c>
      <c r="D30" s="11">
        <f>1.05*C30</f>
        <v>907063.5</v>
      </c>
      <c r="E30" s="11">
        <f>1.05*D30</f>
        <v>952416.67500000005</v>
      </c>
    </row>
    <row r="31" spans="1:5" ht="15.5">
      <c r="A31" s="9"/>
      <c r="B31" s="7" t="s">
        <v>203</v>
      </c>
      <c r="C31" s="8">
        <f>C32</f>
        <v>3500000</v>
      </c>
      <c r="D31" s="8">
        <f>D32</f>
        <v>3675000</v>
      </c>
      <c r="E31" s="8">
        <f>E32</f>
        <v>3858750</v>
      </c>
    </row>
    <row r="32" spans="1:5" ht="15.5">
      <c r="A32" s="9"/>
      <c r="B32" s="9" t="s">
        <v>262</v>
      </c>
      <c r="C32" s="10">
        <v>3500000</v>
      </c>
      <c r="D32" s="11">
        <f>C32*1.05</f>
        <v>3675000</v>
      </c>
      <c r="E32" s="11">
        <f>D32*1.05</f>
        <v>3858750</v>
      </c>
    </row>
    <row r="33" spans="1:5" ht="31">
      <c r="A33" s="9"/>
      <c r="B33" s="7" t="s">
        <v>205</v>
      </c>
      <c r="C33" s="8">
        <f>C34+C35+C36</f>
        <v>5258500</v>
      </c>
      <c r="D33" s="8">
        <f>D34+D35+D36</f>
        <v>5521425</v>
      </c>
      <c r="E33" s="8">
        <f>E34+E35+E36</f>
        <v>5797496.25</v>
      </c>
    </row>
    <row r="34" spans="1:5" ht="31">
      <c r="A34" s="9"/>
      <c r="B34" s="9" t="s">
        <v>206</v>
      </c>
      <c r="C34" s="629">
        <f>4345500-1600000</f>
        <v>2745500</v>
      </c>
      <c r="D34" s="11">
        <f>C34*1.05</f>
        <v>2882775</v>
      </c>
      <c r="E34" s="11">
        <f>D34*1.05</f>
        <v>3026913.75</v>
      </c>
    </row>
    <row r="35" spans="1:5" ht="31">
      <c r="A35" s="9"/>
      <c r="B35" s="9" t="s">
        <v>263</v>
      </c>
      <c r="C35" s="629">
        <v>1834460</v>
      </c>
      <c r="D35" s="11">
        <f>C35*1.05</f>
        <v>1926183</v>
      </c>
      <c r="E35" s="11">
        <f t="shared" ref="E35:E36" si="3">D35*1.05</f>
        <v>2022492.1500000001</v>
      </c>
    </row>
    <row r="36" spans="1:5" ht="31">
      <c r="A36" s="9"/>
      <c r="B36" s="9" t="s">
        <v>207</v>
      </c>
      <c r="C36" s="10">
        <v>678540</v>
      </c>
      <c r="D36" s="11">
        <f>C36*1.05</f>
        <v>712467</v>
      </c>
      <c r="E36" s="11">
        <f t="shared" si="3"/>
        <v>748090.35</v>
      </c>
    </row>
    <row r="37" spans="1:5" ht="15.5">
      <c r="A37" s="9"/>
      <c r="B37" s="7" t="s">
        <v>208</v>
      </c>
      <c r="C37" s="8">
        <f>C38</f>
        <v>8440000</v>
      </c>
      <c r="D37" s="8">
        <f>D38</f>
        <v>8862000</v>
      </c>
      <c r="E37" s="8">
        <f>E38</f>
        <v>9305100</v>
      </c>
    </row>
    <row r="38" spans="1:5" ht="31">
      <c r="A38" s="9"/>
      <c r="B38" s="9" t="s">
        <v>209</v>
      </c>
      <c r="C38" s="10">
        <v>8440000</v>
      </c>
      <c r="D38" s="11">
        <f>C38*1.05</f>
        <v>8862000</v>
      </c>
      <c r="E38" s="11">
        <f>D38*1.05</f>
        <v>9305100</v>
      </c>
    </row>
    <row r="39" spans="1:5" ht="15.5">
      <c r="A39" s="9"/>
      <c r="B39" s="7" t="s">
        <v>210</v>
      </c>
      <c r="C39" s="8">
        <f>C40+C41+C43</f>
        <v>30766761</v>
      </c>
      <c r="D39" s="8">
        <f>D40+D41+D43+D42</f>
        <v>34835599.049999997</v>
      </c>
      <c r="E39" s="8">
        <f>E40+E41+E43+E42</f>
        <v>36577379.002499998</v>
      </c>
    </row>
    <row r="40" spans="1:5" ht="46.5">
      <c r="A40" s="9"/>
      <c r="B40" s="9" t="s">
        <v>211</v>
      </c>
      <c r="C40" s="629">
        <v>590000</v>
      </c>
      <c r="D40" s="10">
        <v>0</v>
      </c>
      <c r="E40" s="10">
        <v>0</v>
      </c>
    </row>
    <row r="41" spans="1:5" ht="15.5">
      <c r="A41" s="9"/>
      <c r="B41" s="9" t="s">
        <v>264</v>
      </c>
      <c r="C41" s="10">
        <v>2500000</v>
      </c>
      <c r="D41" s="11">
        <f>1.05*C41</f>
        <v>2625000</v>
      </c>
      <c r="E41" s="11">
        <f>1.05*D41</f>
        <v>2756250</v>
      </c>
    </row>
    <row r="42" spans="1:5" ht="15.5">
      <c r="A42" s="9"/>
      <c r="B42" s="9" t="s">
        <v>265</v>
      </c>
      <c r="C42" s="10">
        <v>3000000</v>
      </c>
      <c r="D42" s="11">
        <f>C42*1.05</f>
        <v>3150000</v>
      </c>
      <c r="E42" s="11">
        <f>D42*1.05</f>
        <v>3307500</v>
      </c>
    </row>
    <row r="43" spans="1:5" ht="15.5">
      <c r="A43" s="9"/>
      <c r="B43" s="9" t="s">
        <v>266</v>
      </c>
      <c r="C43" s="629">
        <f>22232410+6253315-808964</f>
        <v>27676761</v>
      </c>
      <c r="D43" s="11">
        <f>1.05*C43</f>
        <v>29060599.050000001</v>
      </c>
      <c r="E43" s="11">
        <f>1.05*D43</f>
        <v>30513629.002500001</v>
      </c>
    </row>
    <row r="44" spans="1:5" ht="31">
      <c r="A44" s="9"/>
      <c r="B44" s="7" t="s">
        <v>212</v>
      </c>
      <c r="C44" s="8">
        <f>C45</f>
        <v>4500000</v>
      </c>
      <c r="D44" s="8">
        <f>D45</f>
        <v>4725000</v>
      </c>
      <c r="E44" s="8">
        <f>E45</f>
        <v>4961250</v>
      </c>
    </row>
    <row r="45" spans="1:5" ht="31">
      <c r="A45" s="9"/>
      <c r="B45" s="9" t="s">
        <v>213</v>
      </c>
      <c r="C45" s="10">
        <v>4500000</v>
      </c>
      <c r="D45" s="11">
        <f>1.05*C45</f>
        <v>4725000</v>
      </c>
      <c r="E45" s="11">
        <f>1.05*D45</f>
        <v>4961250</v>
      </c>
    </row>
    <row r="46" spans="1:5" ht="31">
      <c r="A46" s="9"/>
      <c r="B46" s="7" t="s">
        <v>267</v>
      </c>
      <c r="C46" s="8">
        <f>C47+C48</f>
        <v>1740000</v>
      </c>
      <c r="D46" s="8">
        <f>D47+D48</f>
        <v>1827000</v>
      </c>
      <c r="E46" s="8">
        <f>E47+E48</f>
        <v>1918350</v>
      </c>
    </row>
    <row r="47" spans="1:5" ht="31">
      <c r="A47" s="9"/>
      <c r="B47" s="9" t="s">
        <v>268</v>
      </c>
      <c r="C47" s="10">
        <v>1500000</v>
      </c>
      <c r="D47" s="11">
        <f>1.05*C47</f>
        <v>1575000</v>
      </c>
      <c r="E47" s="11">
        <f>1.05*D47</f>
        <v>1653750</v>
      </c>
    </row>
    <row r="48" spans="1:5" ht="31">
      <c r="A48" s="9"/>
      <c r="B48" s="9" t="s">
        <v>269</v>
      </c>
      <c r="C48" s="10">
        <v>240000</v>
      </c>
      <c r="D48" s="11">
        <f>1.05*C48</f>
        <v>252000</v>
      </c>
      <c r="E48" s="11">
        <f>1.05*D48</f>
        <v>264600</v>
      </c>
    </row>
    <row r="49" spans="1:6" ht="31">
      <c r="A49" s="9"/>
      <c r="B49" s="7" t="s">
        <v>270</v>
      </c>
      <c r="C49" s="8">
        <f>C51+C50</f>
        <v>1500000</v>
      </c>
      <c r="D49" s="8">
        <f>D51+D50</f>
        <v>1575000</v>
      </c>
      <c r="E49" s="8">
        <f>E51+E50</f>
        <v>1653750</v>
      </c>
    </row>
    <row r="50" spans="1:6" ht="31">
      <c r="A50" s="9"/>
      <c r="B50" s="9" t="s">
        <v>271</v>
      </c>
      <c r="C50" s="12">
        <v>400000</v>
      </c>
      <c r="D50" s="12">
        <f>1.05*C50</f>
        <v>420000</v>
      </c>
      <c r="E50" s="12">
        <f>1.05*D50</f>
        <v>441000</v>
      </c>
    </row>
    <row r="51" spans="1:6" ht="31">
      <c r="A51" s="9"/>
      <c r="B51" s="9" t="s">
        <v>272</v>
      </c>
      <c r="C51" s="10">
        <v>1100000</v>
      </c>
      <c r="D51" s="11">
        <f>1.05*C51</f>
        <v>1155000</v>
      </c>
      <c r="E51" s="11">
        <f>1.05*D51</f>
        <v>1212750</v>
      </c>
      <c r="F51" s="70">
        <f>C52-74125770</f>
        <v>0</v>
      </c>
    </row>
    <row r="52" spans="1:6" ht="15.5">
      <c r="A52" s="9"/>
      <c r="B52" s="7" t="s">
        <v>236</v>
      </c>
      <c r="C52" s="13">
        <f>C49+C46+C44+C39+C37+C33+C31+C28+C24+C22+C18+C13+C10+C7</f>
        <v>74125770</v>
      </c>
      <c r="D52" s="13">
        <f>D49+D46+D44+D39+D37+D33+D31+D28+D24+D22+D18+D13+D10+D7</f>
        <v>78239773.5</v>
      </c>
      <c r="E52" s="13">
        <f>E49+E46+E44+E39+E37+E33+E31+E28+E24+E22+E18+E13+E10+E7</f>
        <v>82151762.174999997</v>
      </c>
    </row>
    <row r="53" spans="1:6" ht="16" thickBot="1">
      <c r="A53" s="9"/>
      <c r="B53" s="7" t="s">
        <v>273</v>
      </c>
      <c r="C53" s="14">
        <f t="shared" ref="C53:E54" si="4">C52</f>
        <v>74125770</v>
      </c>
      <c r="D53" s="14">
        <f t="shared" si="4"/>
        <v>78239773.5</v>
      </c>
      <c r="E53" s="14">
        <f t="shared" si="4"/>
        <v>82151762.174999997</v>
      </c>
    </row>
    <row r="54" spans="1:6" ht="32" thickTop="1" thickBot="1">
      <c r="A54" s="7" t="s">
        <v>274</v>
      </c>
      <c r="B54" s="7" t="s">
        <v>273</v>
      </c>
      <c r="C54" s="14">
        <f t="shared" si="4"/>
        <v>74125770</v>
      </c>
      <c r="D54" s="14">
        <f t="shared" si="4"/>
        <v>78239773.5</v>
      </c>
      <c r="E54" s="14">
        <f t="shared" si="4"/>
        <v>82151762.174999997</v>
      </c>
    </row>
    <row r="55" spans="1:6" ht="31.5" thickTop="1">
      <c r="A55" s="7" t="s">
        <v>275</v>
      </c>
      <c r="B55" s="7" t="s">
        <v>189</v>
      </c>
      <c r="C55" s="8">
        <f>C56+C57</f>
        <v>180000</v>
      </c>
      <c r="D55" s="8">
        <f>D56+D57</f>
        <v>189000</v>
      </c>
      <c r="E55" s="8">
        <f>E56+E57</f>
        <v>198450</v>
      </c>
    </row>
    <row r="56" spans="1:6" ht="15.5">
      <c r="A56" s="9"/>
      <c r="B56" s="9" t="s">
        <v>190</v>
      </c>
      <c r="C56" s="10">
        <v>0</v>
      </c>
      <c r="D56" s="10">
        <v>0</v>
      </c>
      <c r="E56" s="10">
        <v>0</v>
      </c>
    </row>
    <row r="57" spans="1:6" ht="15.5">
      <c r="A57" s="9"/>
      <c r="B57" s="9" t="s">
        <v>250</v>
      </c>
      <c r="C57" s="10">
        <v>180000</v>
      </c>
      <c r="D57" s="11">
        <f>1.05*C57</f>
        <v>189000</v>
      </c>
      <c r="E57" s="11">
        <f>1.05*D57</f>
        <v>198450</v>
      </c>
    </row>
    <row r="58" spans="1:6" ht="31">
      <c r="A58" s="9"/>
      <c r="B58" s="7" t="s">
        <v>251</v>
      </c>
      <c r="C58" s="8">
        <f>C59+C60</f>
        <v>156000</v>
      </c>
      <c r="D58" s="8">
        <f>D59+D60</f>
        <v>157800</v>
      </c>
      <c r="E58" s="8">
        <f>E59+E60</f>
        <v>39690</v>
      </c>
    </row>
    <row r="59" spans="1:6" ht="15.5">
      <c r="A59" s="9"/>
      <c r="B59" s="9" t="s">
        <v>252</v>
      </c>
      <c r="C59" s="629">
        <v>120000</v>
      </c>
      <c r="D59" s="11">
        <f t="shared" ref="D59" si="5">C59+E59</f>
        <v>120000</v>
      </c>
      <c r="E59" s="15"/>
    </row>
    <row r="60" spans="1:6" ht="15.5">
      <c r="A60" s="9"/>
      <c r="B60" s="9" t="s">
        <v>253</v>
      </c>
      <c r="C60" s="10">
        <v>36000</v>
      </c>
      <c r="D60" s="11">
        <f>1.05*C60</f>
        <v>37800</v>
      </c>
      <c r="E60" s="11">
        <f>1.05*D60</f>
        <v>39690</v>
      </c>
    </row>
    <row r="61" spans="1:6" ht="31">
      <c r="A61" s="9"/>
      <c r="B61" s="7" t="s">
        <v>191</v>
      </c>
      <c r="C61" s="8">
        <f>C62+C63+C64+C65</f>
        <v>9790515</v>
      </c>
      <c r="D61" s="8">
        <f>D62+D63+D64+D65</f>
        <v>10280040.75</v>
      </c>
      <c r="E61" s="8">
        <f>E62+E63+E64+E65</f>
        <v>10794042.787500001</v>
      </c>
    </row>
    <row r="62" spans="1:6" ht="31">
      <c r="A62" s="9"/>
      <c r="B62" s="9" t="s">
        <v>192</v>
      </c>
      <c r="C62" s="629">
        <v>767000</v>
      </c>
      <c r="D62" s="11">
        <f>1.05*C62</f>
        <v>805350</v>
      </c>
      <c r="E62" s="11">
        <f>1.05*D62</f>
        <v>845617.5</v>
      </c>
    </row>
    <row r="63" spans="1:6" ht="15.5">
      <c r="A63" s="9"/>
      <c r="B63" s="9" t="s">
        <v>194</v>
      </c>
      <c r="C63" s="629">
        <v>3842160</v>
      </c>
      <c r="D63" s="11">
        <f t="shared" ref="D63:E65" si="6">1.05*C63</f>
        <v>4034268</v>
      </c>
      <c r="E63" s="11">
        <f t="shared" si="6"/>
        <v>4235981.4000000004</v>
      </c>
    </row>
    <row r="64" spans="1:6" ht="15.5">
      <c r="A64" s="9"/>
      <c r="B64" s="9" t="s">
        <v>254</v>
      </c>
      <c r="C64" s="629">
        <v>2501755</v>
      </c>
      <c r="D64" s="11">
        <f t="shared" si="6"/>
        <v>2626842.75</v>
      </c>
      <c r="E64" s="11">
        <f t="shared" si="6"/>
        <v>2758184.8875000002</v>
      </c>
    </row>
    <row r="65" spans="1:6" ht="15.5">
      <c r="A65" s="9"/>
      <c r="B65" s="9" t="s">
        <v>232</v>
      </c>
      <c r="C65" s="629">
        <v>2679600</v>
      </c>
      <c r="D65" s="11">
        <f t="shared" si="6"/>
        <v>2813580</v>
      </c>
      <c r="E65" s="11">
        <f t="shared" si="6"/>
        <v>2954259</v>
      </c>
    </row>
    <row r="66" spans="1:6" ht="31">
      <c r="A66" s="9"/>
      <c r="B66" s="7" t="s">
        <v>195</v>
      </c>
      <c r="C66" s="8">
        <f>C67+C68+C69</f>
        <v>662400</v>
      </c>
      <c r="D66" s="8">
        <f>D67+D68+D69</f>
        <v>695520</v>
      </c>
      <c r="E66" s="8">
        <f>E67+E68+E69</f>
        <v>730296</v>
      </c>
    </row>
    <row r="67" spans="1:6" ht="15.5">
      <c r="A67" s="9"/>
      <c r="B67" s="9" t="s">
        <v>233</v>
      </c>
      <c r="C67" s="629">
        <v>600000</v>
      </c>
      <c r="D67" s="11">
        <f>1.05*C67</f>
        <v>630000</v>
      </c>
      <c r="E67" s="11">
        <f>1.05*D67</f>
        <v>661500</v>
      </c>
    </row>
    <row r="68" spans="1:6" ht="31">
      <c r="A68" s="9"/>
      <c r="B68" s="9" t="s">
        <v>255</v>
      </c>
      <c r="C68" s="629">
        <v>62400</v>
      </c>
      <c r="D68" s="11">
        <f>1.05*C68</f>
        <v>65520</v>
      </c>
      <c r="E68" s="11">
        <f>1.05*D68</f>
        <v>68796</v>
      </c>
    </row>
    <row r="69" spans="1:6" ht="31">
      <c r="A69" s="9"/>
      <c r="B69" s="9" t="s">
        <v>196</v>
      </c>
      <c r="C69" s="10">
        <v>0</v>
      </c>
      <c r="D69" s="10">
        <v>0</v>
      </c>
      <c r="E69" s="10">
        <v>0</v>
      </c>
    </row>
    <row r="70" spans="1:6" ht="15.5">
      <c r="A70" s="9"/>
      <c r="B70" s="7" t="s">
        <v>256</v>
      </c>
      <c r="C70" s="8">
        <f>C71</f>
        <v>0</v>
      </c>
      <c r="D70" s="8">
        <f>D71</f>
        <v>0</v>
      </c>
      <c r="E70" s="8">
        <f>E71</f>
        <v>0</v>
      </c>
    </row>
    <row r="71" spans="1:6" ht="15.5">
      <c r="A71" s="9"/>
      <c r="B71" s="9" t="s">
        <v>257</v>
      </c>
      <c r="C71" s="10">
        <v>0</v>
      </c>
      <c r="D71" s="10">
        <v>0</v>
      </c>
      <c r="E71" s="10">
        <v>0</v>
      </c>
    </row>
    <row r="72" spans="1:6" ht="15.5">
      <c r="A72" s="9"/>
      <c r="B72" s="7" t="s">
        <v>258</v>
      </c>
      <c r="C72" s="8">
        <f>C73+C74+C75</f>
        <v>1694610</v>
      </c>
      <c r="D72" s="8">
        <f>D73+D74+D75</f>
        <v>1779340.5</v>
      </c>
      <c r="E72" s="8">
        <f>E73+E74+E75</f>
        <v>1868307.5249999999</v>
      </c>
    </row>
    <row r="73" spans="1:6" ht="15.5">
      <c r="A73" s="9"/>
      <c r="B73" s="9" t="s">
        <v>259</v>
      </c>
      <c r="C73" s="10">
        <v>214000</v>
      </c>
      <c r="D73" s="11">
        <f>1.05*C73</f>
        <v>224700</v>
      </c>
      <c r="E73" s="11">
        <f>1.05*D73</f>
        <v>235935</v>
      </c>
    </row>
    <row r="74" spans="1:6" ht="15.5">
      <c r="A74" s="9"/>
      <c r="B74" s="9" t="s">
        <v>260</v>
      </c>
      <c r="C74" s="629">
        <v>1082000</v>
      </c>
      <c r="D74" s="11">
        <f t="shared" ref="D74:E75" si="7">1.05*C74</f>
        <v>1136100</v>
      </c>
      <c r="E74" s="11">
        <f t="shared" si="7"/>
        <v>1192905</v>
      </c>
    </row>
    <row r="75" spans="1:6" ht="15.5">
      <c r="A75" s="9"/>
      <c r="B75" s="9" t="s">
        <v>261</v>
      </c>
      <c r="C75" s="629">
        <f>270000+128610</f>
        <v>398610</v>
      </c>
      <c r="D75" s="11">
        <f t="shared" si="7"/>
        <v>418540.5</v>
      </c>
      <c r="E75" s="11">
        <f t="shared" si="7"/>
        <v>439467.52500000002</v>
      </c>
    </row>
    <row r="76" spans="1:6" ht="15.5">
      <c r="A76" s="9"/>
      <c r="B76" s="7" t="s">
        <v>200</v>
      </c>
      <c r="C76" s="8">
        <f>C77+C78</f>
        <v>4398135</v>
      </c>
      <c r="D76" s="8">
        <f>D77+D78</f>
        <v>4618041.75</v>
      </c>
      <c r="E76" s="8">
        <f>E77+E78</f>
        <v>4848943.8375000004</v>
      </c>
    </row>
    <row r="77" spans="1:6" ht="31">
      <c r="A77" s="9"/>
      <c r="B77" s="9" t="s">
        <v>201</v>
      </c>
      <c r="C77" s="629">
        <v>2118135</v>
      </c>
      <c r="D77" s="11">
        <f>1.05*C77</f>
        <v>2224041.75</v>
      </c>
      <c r="E77" s="11">
        <f>1.05*D77</f>
        <v>2335243.8374999999</v>
      </c>
      <c r="F77" s="459">
        <v>1902000</v>
      </c>
    </row>
    <row r="78" spans="1:6" ht="31">
      <c r="A78" s="9"/>
      <c r="B78" s="9" t="s">
        <v>202</v>
      </c>
      <c r="C78" s="629">
        <v>2280000</v>
      </c>
      <c r="D78" s="11">
        <f>1.05*C78</f>
        <v>2394000</v>
      </c>
      <c r="E78" s="11">
        <f>1.05*D78</f>
        <v>2513700</v>
      </c>
      <c r="F78" s="70">
        <f>C78-500000</f>
        <v>1780000</v>
      </c>
    </row>
    <row r="79" spans="1:6" ht="15.5">
      <c r="A79" s="9"/>
      <c r="B79" s="7" t="s">
        <v>203</v>
      </c>
      <c r="C79" s="8">
        <f>C80</f>
        <v>400000</v>
      </c>
      <c r="D79" s="8">
        <f>D80</f>
        <v>420000</v>
      </c>
      <c r="E79" s="8">
        <f>E80</f>
        <v>441000</v>
      </c>
    </row>
    <row r="80" spans="1:6" ht="15.5">
      <c r="A80" s="9"/>
      <c r="B80" s="9" t="s">
        <v>262</v>
      </c>
      <c r="C80" s="10">
        <v>400000</v>
      </c>
      <c r="D80" s="11">
        <f>1.05*C80</f>
        <v>420000</v>
      </c>
      <c r="E80" s="11">
        <f>1.05*D80</f>
        <v>441000</v>
      </c>
    </row>
    <row r="81" spans="1:5" ht="31">
      <c r="A81" s="9"/>
      <c r="B81" s="7" t="s">
        <v>205</v>
      </c>
      <c r="C81" s="8">
        <f>C82+C83+C84</f>
        <v>742300</v>
      </c>
      <c r="D81" s="8">
        <f>D82+D83+D84</f>
        <v>779415</v>
      </c>
      <c r="E81" s="8">
        <f>E82+E83+E84</f>
        <v>818385.75</v>
      </c>
    </row>
    <row r="82" spans="1:5" ht="31">
      <c r="A82" s="9"/>
      <c r="B82" s="9" t="s">
        <v>206</v>
      </c>
      <c r="C82" s="629">
        <v>537860</v>
      </c>
      <c r="D82" s="11">
        <f>1.05*C82</f>
        <v>564753</v>
      </c>
      <c r="E82" s="11">
        <f>1.05*D82</f>
        <v>592990.65</v>
      </c>
    </row>
    <row r="83" spans="1:5" ht="31">
      <c r="A83" s="9"/>
      <c r="B83" s="9" t="s">
        <v>263</v>
      </c>
      <c r="C83" s="10">
        <v>150000</v>
      </c>
      <c r="D83" s="11">
        <f t="shared" ref="D83:E84" si="8">1.05*C83</f>
        <v>157500</v>
      </c>
      <c r="E83" s="11">
        <f t="shared" si="8"/>
        <v>165375</v>
      </c>
    </row>
    <row r="84" spans="1:5" ht="31">
      <c r="A84" s="9"/>
      <c r="B84" s="9" t="s">
        <v>207</v>
      </c>
      <c r="C84" s="629">
        <v>54440</v>
      </c>
      <c r="D84" s="11">
        <f t="shared" si="8"/>
        <v>57162</v>
      </c>
      <c r="E84" s="11">
        <f t="shared" si="8"/>
        <v>60020.100000000006</v>
      </c>
    </row>
    <row r="85" spans="1:5" ht="15.5">
      <c r="A85" s="9"/>
      <c r="B85" s="7" t="s">
        <v>208</v>
      </c>
      <c r="C85" s="8">
        <f>C86</f>
        <v>1139200</v>
      </c>
      <c r="D85" s="8">
        <f>D86</f>
        <v>1196160</v>
      </c>
      <c r="E85" s="8">
        <f>E86</f>
        <v>1255968</v>
      </c>
    </row>
    <row r="86" spans="1:5" ht="31">
      <c r="A86" s="9"/>
      <c r="B86" s="9" t="s">
        <v>209</v>
      </c>
      <c r="C86" s="629">
        <v>1139200</v>
      </c>
      <c r="D86" s="11">
        <f>1.05*C86</f>
        <v>1196160</v>
      </c>
      <c r="E86" s="11">
        <f>1.05*D86</f>
        <v>1255968</v>
      </c>
    </row>
    <row r="87" spans="1:5" ht="15.5">
      <c r="A87" s="9"/>
      <c r="B87" s="7" t="s">
        <v>210</v>
      </c>
      <c r="C87" s="8">
        <f>C88+C89+C91</f>
        <v>5471695</v>
      </c>
      <c r="D87" s="8">
        <f>D88+D89+D91+D90</f>
        <v>7637390.25</v>
      </c>
      <c r="E87" s="8">
        <f>E88+E89+E91+E90</f>
        <v>8019259.7625000011</v>
      </c>
    </row>
    <row r="88" spans="1:5" ht="46.5">
      <c r="A88" s="9"/>
      <c r="B88" s="9" t="s">
        <v>211</v>
      </c>
      <c r="C88" s="629">
        <v>64200</v>
      </c>
      <c r="D88" s="11">
        <f>1.05*C88</f>
        <v>67410</v>
      </c>
      <c r="E88" s="11">
        <f>1.05*D88</f>
        <v>70780.5</v>
      </c>
    </row>
    <row r="89" spans="1:5" ht="15.5">
      <c r="A89" s="9"/>
      <c r="B89" s="9" t="s">
        <v>264</v>
      </c>
      <c r="C89" s="629">
        <v>3000000</v>
      </c>
      <c r="D89" s="11">
        <f t="shared" ref="D89:E91" si="9">1.05*C89</f>
        <v>3150000</v>
      </c>
      <c r="E89" s="11">
        <f t="shared" si="9"/>
        <v>3307500</v>
      </c>
    </row>
    <row r="90" spans="1:5" ht="15.5">
      <c r="A90" s="9"/>
      <c r="B90" s="9" t="s">
        <v>265</v>
      </c>
      <c r="C90" s="10">
        <v>1802010</v>
      </c>
      <c r="D90" s="11">
        <f t="shared" si="9"/>
        <v>1892110.5</v>
      </c>
      <c r="E90" s="11">
        <f t="shared" si="9"/>
        <v>1986716.0250000001</v>
      </c>
    </row>
    <row r="91" spans="1:5" ht="15.5">
      <c r="A91" s="9"/>
      <c r="B91" s="9" t="s">
        <v>266</v>
      </c>
      <c r="C91" s="629">
        <v>2407495</v>
      </c>
      <c r="D91" s="11">
        <f t="shared" si="9"/>
        <v>2527869.75</v>
      </c>
      <c r="E91" s="11">
        <f t="shared" si="9"/>
        <v>2654263.2375000003</v>
      </c>
    </row>
    <row r="92" spans="1:5" ht="31">
      <c r="A92" s="9"/>
      <c r="B92" s="7" t="s">
        <v>212</v>
      </c>
      <c r="C92" s="8">
        <f>C93</f>
        <v>300000</v>
      </c>
      <c r="D92" s="8">
        <f>D93</f>
        <v>315000</v>
      </c>
      <c r="E92" s="8">
        <f>E93</f>
        <v>330750</v>
      </c>
    </row>
    <row r="93" spans="1:5" ht="31">
      <c r="A93" s="9"/>
      <c r="B93" s="9" t="s">
        <v>213</v>
      </c>
      <c r="C93" s="10">
        <v>300000</v>
      </c>
      <c r="D93" s="11">
        <f>1.05*C93</f>
        <v>315000</v>
      </c>
      <c r="E93" s="11">
        <f>1.05*D93</f>
        <v>330750</v>
      </c>
    </row>
    <row r="94" spans="1:5" ht="31">
      <c r="A94" s="9"/>
      <c r="B94" s="7" t="s">
        <v>267</v>
      </c>
      <c r="C94" s="8">
        <f>C95+C96</f>
        <v>640000</v>
      </c>
      <c r="D94" s="8">
        <f>D95+D96</f>
        <v>672000</v>
      </c>
      <c r="E94" s="8">
        <f>E95+E96</f>
        <v>705600</v>
      </c>
    </row>
    <row r="95" spans="1:5" ht="31">
      <c r="A95" s="9"/>
      <c r="B95" s="9" t="s">
        <v>268</v>
      </c>
      <c r="C95" s="10">
        <v>400000</v>
      </c>
      <c r="D95" s="11">
        <f>1.05*C95</f>
        <v>420000</v>
      </c>
      <c r="E95" s="11">
        <f>1.05*D95</f>
        <v>441000</v>
      </c>
    </row>
    <row r="96" spans="1:5" ht="31">
      <c r="A96" s="9"/>
      <c r="B96" s="9" t="s">
        <v>269</v>
      </c>
      <c r="C96" s="10">
        <v>240000</v>
      </c>
      <c r="D96" s="11">
        <f>1.05*C96</f>
        <v>252000</v>
      </c>
      <c r="E96" s="11">
        <f>1.05*D96</f>
        <v>264600</v>
      </c>
    </row>
    <row r="97" spans="1:6" ht="31">
      <c r="A97" s="9"/>
      <c r="B97" s="7" t="s">
        <v>270</v>
      </c>
      <c r="C97" s="8">
        <f>C99+C98</f>
        <v>150000</v>
      </c>
      <c r="D97" s="8">
        <f>D99+D98</f>
        <v>157500</v>
      </c>
      <c r="E97" s="8">
        <f>E99+E98</f>
        <v>165375</v>
      </c>
    </row>
    <row r="98" spans="1:6" ht="31">
      <c r="A98" s="9"/>
      <c r="B98" s="9" t="s">
        <v>271</v>
      </c>
      <c r="C98" s="12">
        <v>0</v>
      </c>
      <c r="D98" s="12">
        <f>C98+E98</f>
        <v>0</v>
      </c>
      <c r="E98" s="11">
        <v>0</v>
      </c>
    </row>
    <row r="99" spans="1:6" ht="31">
      <c r="A99" s="9"/>
      <c r="B99" s="9" t="s">
        <v>272</v>
      </c>
      <c r="C99" s="10">
        <v>150000</v>
      </c>
      <c r="D99" s="11">
        <f>1.05*C99</f>
        <v>157500</v>
      </c>
      <c r="E99" s="11">
        <f>1.05*D99</f>
        <v>165375</v>
      </c>
    </row>
    <row r="100" spans="1:6" ht="15.5">
      <c r="A100" s="9"/>
      <c r="B100" s="7" t="s">
        <v>236</v>
      </c>
      <c r="C100" s="13">
        <f>C97+C94+C92+C87+C85+C81+C79+C76+C72+C70+C66+C61+C58+C55</f>
        <v>25724855</v>
      </c>
      <c r="D100" s="13">
        <f>D97+D94+D92+D87+D85+D81+D79+D76+D72+D70+D66+D61+D58+D55</f>
        <v>28897208.25</v>
      </c>
      <c r="E100" s="13">
        <f>E97+E94+E92+E87+E85+E81+E79+E76+E72+E70+E66+E61+E58+E55</f>
        <v>30216068.662500001</v>
      </c>
      <c r="F100" s="70">
        <f>C100+C52</f>
        <v>99850625</v>
      </c>
    </row>
    <row r="101" spans="1:6" ht="16" thickBot="1">
      <c r="A101" s="9"/>
      <c r="B101" s="7" t="s">
        <v>273</v>
      </c>
      <c r="C101" s="14">
        <f t="shared" ref="C101:E102" si="10">C100</f>
        <v>25724855</v>
      </c>
      <c r="D101" s="14">
        <f t="shared" si="10"/>
        <v>28897208.25</v>
      </c>
      <c r="E101" s="14">
        <f t="shared" si="10"/>
        <v>30216068.662500001</v>
      </c>
    </row>
    <row r="102" spans="1:6" ht="32" thickTop="1" thickBot="1">
      <c r="A102" s="7" t="s">
        <v>276</v>
      </c>
      <c r="B102" s="7" t="s">
        <v>273</v>
      </c>
      <c r="C102" s="14">
        <f t="shared" si="10"/>
        <v>25724855</v>
      </c>
      <c r="D102" s="14">
        <f t="shared" si="10"/>
        <v>28897208.25</v>
      </c>
      <c r="E102" s="14">
        <f t="shared" si="10"/>
        <v>30216068.662500001</v>
      </c>
    </row>
    <row r="103" spans="1:6" ht="31.5" thickTop="1">
      <c r="A103" s="7" t="s">
        <v>277</v>
      </c>
      <c r="B103" s="7" t="s">
        <v>189</v>
      </c>
      <c r="C103" s="8">
        <f>C104+C105</f>
        <v>0</v>
      </c>
      <c r="D103" s="8">
        <f>D104+D105</f>
        <v>0</v>
      </c>
      <c r="E103" s="8">
        <f>E104+E105</f>
        <v>0</v>
      </c>
    </row>
    <row r="104" spans="1:6" ht="15.5">
      <c r="A104" s="9"/>
      <c r="B104" s="9" t="s">
        <v>190</v>
      </c>
      <c r="C104" s="10">
        <v>0</v>
      </c>
      <c r="D104" s="11">
        <f>1.05*C104</f>
        <v>0</v>
      </c>
      <c r="E104" s="11">
        <f>1.05*D104</f>
        <v>0</v>
      </c>
    </row>
    <row r="105" spans="1:6" ht="15.5">
      <c r="A105" s="9"/>
      <c r="B105" s="9" t="s">
        <v>250</v>
      </c>
      <c r="C105" s="10">
        <v>0</v>
      </c>
      <c r="D105" s="11">
        <f>1.05*C105</f>
        <v>0</v>
      </c>
      <c r="E105" s="11">
        <f>1.05*D105</f>
        <v>0</v>
      </c>
    </row>
    <row r="106" spans="1:6" ht="31">
      <c r="A106" s="9"/>
      <c r="B106" s="7" t="s">
        <v>251</v>
      </c>
      <c r="C106" s="8">
        <f>C107</f>
        <v>264000</v>
      </c>
      <c r="D106" s="8">
        <f>D107</f>
        <v>277200</v>
      </c>
      <c r="E106" s="8">
        <f>E107</f>
        <v>291060</v>
      </c>
    </row>
    <row r="107" spans="1:6" ht="31">
      <c r="A107" s="9"/>
      <c r="B107" s="9" t="s">
        <v>278</v>
      </c>
      <c r="C107" s="10">
        <v>264000</v>
      </c>
      <c r="D107" s="11">
        <f>C107*1.05</f>
        <v>277200</v>
      </c>
      <c r="E107" s="11">
        <f>D107*1.05</f>
        <v>291060</v>
      </c>
    </row>
    <row r="108" spans="1:6" ht="31">
      <c r="A108" s="9"/>
      <c r="B108" s="7" t="s">
        <v>191</v>
      </c>
      <c r="C108" s="8">
        <f>C109+C110+C111</f>
        <v>11708920</v>
      </c>
      <c r="D108" s="8">
        <f>D109+D110+D111</f>
        <v>12294366</v>
      </c>
      <c r="E108" s="8">
        <f>E109+E110+E111</f>
        <v>12909084.300000001</v>
      </c>
    </row>
    <row r="109" spans="1:6" ht="31">
      <c r="A109" s="9"/>
      <c r="B109" s="9" t="s">
        <v>192</v>
      </c>
      <c r="C109" s="10">
        <v>1118000</v>
      </c>
      <c r="D109" s="11">
        <f t="shared" ref="D109:E111" si="11">1.05*C109</f>
        <v>1173900</v>
      </c>
      <c r="E109" s="11">
        <f t="shared" si="11"/>
        <v>1232595</v>
      </c>
    </row>
    <row r="110" spans="1:6" ht="15.5">
      <c r="A110" s="9"/>
      <c r="B110" s="9" t="s">
        <v>194</v>
      </c>
      <c r="C110" s="10">
        <v>4920775</v>
      </c>
      <c r="D110" s="11">
        <f t="shared" si="11"/>
        <v>5166813.75</v>
      </c>
      <c r="E110" s="11">
        <f t="shared" si="11"/>
        <v>5425154.4375</v>
      </c>
    </row>
    <row r="111" spans="1:6" ht="15.5">
      <c r="A111" s="9"/>
      <c r="B111" s="9" t="s">
        <v>254</v>
      </c>
      <c r="C111" s="10">
        <v>5670145</v>
      </c>
      <c r="D111" s="11">
        <f t="shared" si="11"/>
        <v>5953652.25</v>
      </c>
      <c r="E111" s="11">
        <f t="shared" si="11"/>
        <v>6251334.8624999998</v>
      </c>
    </row>
    <row r="112" spans="1:6" ht="31">
      <c r="A112" s="9"/>
      <c r="B112" s="7" t="s">
        <v>195</v>
      </c>
      <c r="C112" s="8">
        <f>C113</f>
        <v>1427500</v>
      </c>
      <c r="D112" s="8">
        <f>D113</f>
        <v>1498875</v>
      </c>
      <c r="E112" s="8">
        <f>E113</f>
        <v>1573818.75</v>
      </c>
    </row>
    <row r="113" spans="1:5" ht="15.5">
      <c r="A113" s="9"/>
      <c r="B113" s="9" t="s">
        <v>233</v>
      </c>
      <c r="C113" s="10">
        <v>1427500</v>
      </c>
      <c r="D113" s="11">
        <f>1.05*C113</f>
        <v>1498875</v>
      </c>
      <c r="E113" s="11">
        <f>1.05*D113</f>
        <v>1573818.75</v>
      </c>
    </row>
    <row r="114" spans="1:5" ht="15.5">
      <c r="A114" s="9"/>
      <c r="B114" s="7" t="s">
        <v>258</v>
      </c>
      <c r="C114" s="8">
        <f>C115+C116+C117</f>
        <v>3427704</v>
      </c>
      <c r="D114" s="8">
        <f>D115+D116+D117</f>
        <v>3599089.2</v>
      </c>
      <c r="E114" s="8">
        <f>E115+E116+E117</f>
        <v>3779043.6600000006</v>
      </c>
    </row>
    <row r="115" spans="1:5" ht="15.5">
      <c r="A115" s="9"/>
      <c r="B115" s="9" t="s">
        <v>259</v>
      </c>
      <c r="C115" s="10">
        <v>250000</v>
      </c>
      <c r="D115" s="11">
        <f t="shared" ref="D115:E117" si="12">1.05*C115</f>
        <v>262500</v>
      </c>
      <c r="E115" s="11">
        <f t="shared" si="12"/>
        <v>275625</v>
      </c>
    </row>
    <row r="116" spans="1:5" ht="15.5">
      <c r="A116" s="9"/>
      <c r="B116" s="9" t="s">
        <v>260</v>
      </c>
      <c r="C116" s="10">
        <f>2338360-255071</f>
        <v>2083289</v>
      </c>
      <c r="D116" s="11">
        <f t="shared" si="12"/>
        <v>2187453.4500000002</v>
      </c>
      <c r="E116" s="11">
        <f t="shared" si="12"/>
        <v>2296826.1225000005</v>
      </c>
    </row>
    <row r="117" spans="1:5" ht="15.5">
      <c r="A117" s="9"/>
      <c r="B117" s="9" t="s">
        <v>261</v>
      </c>
      <c r="C117" s="10">
        <f>600000+494415</f>
        <v>1094415</v>
      </c>
      <c r="D117" s="11">
        <f t="shared" si="12"/>
        <v>1149135.75</v>
      </c>
      <c r="E117" s="11">
        <f t="shared" si="12"/>
        <v>1206592.5375000001</v>
      </c>
    </row>
    <row r="118" spans="1:5" ht="15.5">
      <c r="A118" s="9"/>
      <c r="B118" s="7" t="s">
        <v>200</v>
      </c>
      <c r="C118" s="8">
        <f>C119+C120</f>
        <v>2921180</v>
      </c>
      <c r="D118" s="8">
        <f>D119+D120</f>
        <v>3067239</v>
      </c>
      <c r="E118" s="8">
        <f>E119+E120</f>
        <v>3220600.95</v>
      </c>
    </row>
    <row r="119" spans="1:5" ht="31">
      <c r="A119" s="9"/>
      <c r="B119" s="9" t="s">
        <v>201</v>
      </c>
      <c r="C119" s="10">
        <v>2921180</v>
      </c>
      <c r="D119" s="11">
        <f>1.05*C119</f>
        <v>3067239</v>
      </c>
      <c r="E119" s="11">
        <f>1.05*D119</f>
        <v>3220600.95</v>
      </c>
    </row>
    <row r="120" spans="1:5" ht="31">
      <c r="A120" s="9"/>
      <c r="B120" s="9" t="s">
        <v>202</v>
      </c>
      <c r="C120" s="10">
        <v>0</v>
      </c>
      <c r="D120" s="11">
        <f>1.05*C120</f>
        <v>0</v>
      </c>
      <c r="E120" s="11">
        <f>1.05*D120</f>
        <v>0</v>
      </c>
    </row>
    <row r="121" spans="1:5" ht="15.5">
      <c r="A121" s="9"/>
      <c r="B121" s="7" t="s">
        <v>210</v>
      </c>
      <c r="C121" s="8">
        <f>C122</f>
        <v>5484315</v>
      </c>
      <c r="D121" s="8">
        <f>D122</f>
        <v>5758530.75</v>
      </c>
      <c r="E121" s="8">
        <f>E122</f>
        <v>6046457.2875000006</v>
      </c>
    </row>
    <row r="122" spans="1:5" ht="15.5">
      <c r="A122" s="9"/>
      <c r="B122" s="9" t="s">
        <v>265</v>
      </c>
      <c r="C122" s="10">
        <v>5484315</v>
      </c>
      <c r="D122" s="11">
        <f>1.05*C122</f>
        <v>5758530.75</v>
      </c>
      <c r="E122" s="11">
        <f>1.05*D122</f>
        <v>6046457.2875000006</v>
      </c>
    </row>
    <row r="123" spans="1:5" ht="31">
      <c r="A123" s="9"/>
      <c r="B123" s="7" t="s">
        <v>205</v>
      </c>
      <c r="C123" s="8">
        <f>C124+C125</f>
        <v>1090038</v>
      </c>
      <c r="D123" s="8">
        <f>D124+D125</f>
        <v>1144539.8999999999</v>
      </c>
      <c r="E123" s="8">
        <f>E124+E125</f>
        <v>1201766.895</v>
      </c>
    </row>
    <row r="124" spans="1:5" ht="31">
      <c r="A124" s="9"/>
      <c r="B124" s="9" t="s">
        <v>206</v>
      </c>
      <c r="C124" s="10">
        <v>620000</v>
      </c>
      <c r="D124" s="11">
        <f>1.05*C124</f>
        <v>651000</v>
      </c>
      <c r="E124" s="11">
        <f>1.05*D124</f>
        <v>683550</v>
      </c>
    </row>
    <row r="125" spans="1:5" ht="31">
      <c r="A125" s="9"/>
      <c r="B125" s="9" t="s">
        <v>263</v>
      </c>
      <c r="C125" s="10">
        <v>470038</v>
      </c>
      <c r="D125" s="11">
        <f>1.05*C125</f>
        <v>493539.9</v>
      </c>
      <c r="E125" s="11">
        <f>1.05*D125</f>
        <v>518216.89500000002</v>
      </c>
    </row>
    <row r="126" spans="1:5" ht="15.5">
      <c r="A126" s="9"/>
      <c r="B126" s="7" t="s">
        <v>208</v>
      </c>
      <c r="C126" s="8">
        <f>C127</f>
        <v>0</v>
      </c>
      <c r="D126" s="8">
        <f>D127</f>
        <v>0</v>
      </c>
      <c r="E126" s="8">
        <f>E127</f>
        <v>0</v>
      </c>
    </row>
    <row r="127" spans="1:5" ht="31">
      <c r="A127" s="9"/>
      <c r="B127" s="9" t="s">
        <v>209</v>
      </c>
      <c r="C127" s="10">
        <v>0</v>
      </c>
      <c r="D127" s="10">
        <v>0</v>
      </c>
      <c r="E127" s="10">
        <v>0</v>
      </c>
    </row>
    <row r="128" spans="1:5" ht="31">
      <c r="A128" s="9"/>
      <c r="B128" s="7" t="s">
        <v>270</v>
      </c>
      <c r="C128" s="8">
        <f>C129</f>
        <v>0</v>
      </c>
      <c r="D128" s="8">
        <f>D129</f>
        <v>0</v>
      </c>
      <c r="E128" s="8">
        <f>E129</f>
        <v>0</v>
      </c>
    </row>
    <row r="129" spans="1:7" ht="31">
      <c r="A129" s="9"/>
      <c r="B129" s="9" t="s">
        <v>272</v>
      </c>
      <c r="C129" s="629">
        <v>0</v>
      </c>
      <c r="D129" s="11">
        <f>1.05*C129</f>
        <v>0</v>
      </c>
      <c r="E129" s="11">
        <f>1.05*D129</f>
        <v>0</v>
      </c>
    </row>
    <row r="130" spans="1:7" ht="15.5">
      <c r="A130" s="9"/>
      <c r="B130" s="7" t="s">
        <v>236</v>
      </c>
      <c r="C130" s="13">
        <f>C128+C126+C123+C118+C114+C112+C108+C106+C103</f>
        <v>20839342</v>
      </c>
      <c r="D130" s="13">
        <f>D128+D126+D123+D118+D114+D112+D108+D106+D103</f>
        <v>21881309.100000001</v>
      </c>
      <c r="E130" s="13">
        <f>E128+E126+E123+E118+E114+E112+E108+E106+E103</f>
        <v>22975374.555</v>
      </c>
      <c r="G130" s="70">
        <f>21289342-C130</f>
        <v>450000</v>
      </c>
    </row>
    <row r="131" spans="1:7" ht="16" thickBot="1">
      <c r="A131" s="9"/>
      <c r="B131" s="7" t="s">
        <v>273</v>
      </c>
      <c r="C131" s="14">
        <f t="shared" ref="C131:E132" si="13">C130</f>
        <v>20839342</v>
      </c>
      <c r="D131" s="14">
        <f t="shared" si="13"/>
        <v>21881309.100000001</v>
      </c>
      <c r="E131" s="14">
        <f t="shared" si="13"/>
        <v>22975374.555</v>
      </c>
    </row>
    <row r="132" spans="1:7" ht="32" thickTop="1" thickBot="1">
      <c r="A132" s="7" t="s">
        <v>279</v>
      </c>
      <c r="B132" s="7" t="s">
        <v>273</v>
      </c>
      <c r="C132" s="14">
        <f t="shared" si="13"/>
        <v>20839342</v>
      </c>
      <c r="D132" s="14">
        <f t="shared" si="13"/>
        <v>21881309.100000001</v>
      </c>
      <c r="E132" s="14">
        <f t="shared" si="13"/>
        <v>22975374.555</v>
      </c>
    </row>
    <row r="133" spans="1:7" ht="31.5" thickTop="1">
      <c r="A133" s="7" t="s">
        <v>280</v>
      </c>
      <c r="B133" s="7" t="s">
        <v>251</v>
      </c>
      <c r="C133" s="8">
        <f>C134</f>
        <v>135000</v>
      </c>
      <c r="D133" s="8">
        <f>D134</f>
        <v>141750</v>
      </c>
      <c r="E133" s="8">
        <f>E134</f>
        <v>148837.5</v>
      </c>
    </row>
    <row r="134" spans="1:7" ht="31">
      <c r="A134" s="9"/>
      <c r="B134" s="9" t="s">
        <v>278</v>
      </c>
      <c r="C134" s="10">
        <v>135000</v>
      </c>
      <c r="D134" s="11">
        <f>C134*1.05</f>
        <v>141750</v>
      </c>
      <c r="E134" s="11">
        <f>D134*1.05</f>
        <v>148837.5</v>
      </c>
    </row>
    <row r="135" spans="1:7" ht="31">
      <c r="A135" s="9"/>
      <c r="B135" s="7" t="s">
        <v>191</v>
      </c>
      <c r="C135" s="8">
        <f>C136+C137</f>
        <v>5826305</v>
      </c>
      <c r="D135" s="8">
        <f>D136+D137</f>
        <v>6117620.25</v>
      </c>
      <c r="E135" s="8">
        <f>E136+E137</f>
        <v>6423501.2625000002</v>
      </c>
    </row>
    <row r="136" spans="1:7" ht="31">
      <c r="A136" s="9"/>
      <c r="B136" s="9" t="s">
        <v>192</v>
      </c>
      <c r="C136" s="10">
        <v>1153000</v>
      </c>
      <c r="D136" s="11">
        <f>1.05*C136</f>
        <v>1210650</v>
      </c>
      <c r="E136" s="11">
        <f>1.05*D136</f>
        <v>1271182.5</v>
      </c>
    </row>
    <row r="137" spans="1:7" ht="15.5">
      <c r="A137" s="9"/>
      <c r="B137" s="9" t="s">
        <v>194</v>
      </c>
      <c r="C137" s="10">
        <v>4673305</v>
      </c>
      <c r="D137" s="11">
        <f>1.05*C137</f>
        <v>4906970.25</v>
      </c>
      <c r="E137" s="11">
        <f>1.05*D137</f>
        <v>5152318.7625000002</v>
      </c>
    </row>
    <row r="138" spans="1:7" ht="31">
      <c r="A138" s="9"/>
      <c r="B138" s="7" t="s">
        <v>195</v>
      </c>
      <c r="C138" s="8">
        <f>C139</f>
        <v>160000</v>
      </c>
      <c r="D138" s="8">
        <f>D139</f>
        <v>168000</v>
      </c>
      <c r="E138" s="8">
        <f>E139</f>
        <v>176400</v>
      </c>
    </row>
    <row r="139" spans="1:7" ht="15.5">
      <c r="A139" s="9"/>
      <c r="B139" s="9" t="s">
        <v>233</v>
      </c>
      <c r="C139" s="10">
        <v>160000</v>
      </c>
      <c r="D139" s="11">
        <f>1.05*C139</f>
        <v>168000</v>
      </c>
      <c r="E139" s="11">
        <f>1.05*D139</f>
        <v>176400</v>
      </c>
    </row>
    <row r="140" spans="1:7" ht="15.5">
      <c r="A140" s="9"/>
      <c r="B140" s="7" t="s">
        <v>258</v>
      </c>
      <c r="C140" s="8">
        <f>C141+C142</f>
        <v>3970800</v>
      </c>
      <c r="D140" s="8">
        <f>D141+D142</f>
        <v>4169340</v>
      </c>
      <c r="E140" s="8">
        <f>E141+E142</f>
        <v>4377807</v>
      </c>
    </row>
    <row r="141" spans="1:7" ht="15.5">
      <c r="A141" s="9"/>
      <c r="B141" s="9" t="s">
        <v>260</v>
      </c>
      <c r="C141" s="10">
        <v>2262900</v>
      </c>
      <c r="D141" s="11">
        <f>1.05*C141</f>
        <v>2376045</v>
      </c>
      <c r="E141" s="11">
        <f>1.05*D141</f>
        <v>2494847.25</v>
      </c>
    </row>
    <row r="142" spans="1:7" ht="15.5">
      <c r="A142" s="9"/>
      <c r="B142" s="9" t="s">
        <v>261</v>
      </c>
      <c r="C142" s="10">
        <v>1707900</v>
      </c>
      <c r="D142" s="11">
        <f>1.05*C142</f>
        <v>1793295</v>
      </c>
      <c r="E142" s="11">
        <f>1.05*D142</f>
        <v>1882959.75</v>
      </c>
    </row>
    <row r="143" spans="1:7" ht="15.5">
      <c r="A143" s="9"/>
      <c r="B143" s="7" t="s">
        <v>200</v>
      </c>
      <c r="C143" s="8">
        <f>C144+C145</f>
        <v>2017500</v>
      </c>
      <c r="D143" s="8">
        <f>D144+D145</f>
        <v>2118375</v>
      </c>
      <c r="E143" s="8">
        <f>E144+E145</f>
        <v>2224293.75</v>
      </c>
    </row>
    <row r="144" spans="1:7" ht="31">
      <c r="A144" s="9"/>
      <c r="B144" s="9" t="s">
        <v>201</v>
      </c>
      <c r="C144" s="10">
        <v>2017500</v>
      </c>
      <c r="D144" s="11">
        <f>1.05*C144</f>
        <v>2118375</v>
      </c>
      <c r="E144" s="11">
        <f>1.05*D144</f>
        <v>2224293.75</v>
      </c>
    </row>
    <row r="145" spans="1:5" ht="31">
      <c r="A145" s="9"/>
      <c r="B145" s="9" t="s">
        <v>202</v>
      </c>
      <c r="C145" s="10">
        <v>0</v>
      </c>
      <c r="D145" s="11">
        <f>1.05*C145</f>
        <v>0</v>
      </c>
      <c r="E145" s="11">
        <f>1.05*D145</f>
        <v>0</v>
      </c>
    </row>
    <row r="146" spans="1:5" ht="15.5">
      <c r="A146" s="9"/>
      <c r="B146" s="7" t="s">
        <v>210</v>
      </c>
      <c r="C146" s="8">
        <f>C147</f>
        <v>3380045</v>
      </c>
      <c r="D146" s="8">
        <f>D147</f>
        <v>3549047.25</v>
      </c>
      <c r="E146" s="8">
        <f>E147</f>
        <v>3726499.6125000003</v>
      </c>
    </row>
    <row r="147" spans="1:5" ht="15.5">
      <c r="A147" s="9"/>
      <c r="B147" s="9" t="s">
        <v>265</v>
      </c>
      <c r="C147" s="10">
        <f>3650045-270000</f>
        <v>3380045</v>
      </c>
      <c r="D147" s="11">
        <f>1.05*C147</f>
        <v>3549047.25</v>
      </c>
      <c r="E147" s="11">
        <f>1.05*D147</f>
        <v>3726499.6125000003</v>
      </c>
    </row>
    <row r="148" spans="1:5" ht="31">
      <c r="A148" s="9"/>
      <c r="B148" s="7" t="s">
        <v>270</v>
      </c>
      <c r="C148" s="8">
        <f>C149</f>
        <v>0</v>
      </c>
      <c r="D148" s="8">
        <f>D149</f>
        <v>0</v>
      </c>
      <c r="E148" s="8">
        <f>E149</f>
        <v>0</v>
      </c>
    </row>
    <row r="149" spans="1:5" ht="31">
      <c r="A149" s="9"/>
      <c r="B149" s="9" t="s">
        <v>281</v>
      </c>
      <c r="C149" s="10">
        <v>0</v>
      </c>
      <c r="D149" s="11">
        <f t="shared" ref="D149" si="14">C149+E149</f>
        <v>0</v>
      </c>
      <c r="E149" s="15"/>
    </row>
    <row r="150" spans="1:5" ht="15.5">
      <c r="A150" s="9"/>
      <c r="B150" s="7" t="s">
        <v>236</v>
      </c>
      <c r="C150" s="13">
        <f>C148+C146+C143+C140+C138+C135+C133</f>
        <v>15489650</v>
      </c>
      <c r="D150" s="13">
        <f>D148+D146+D143+D140+D138+D135+D133</f>
        <v>16264132.5</v>
      </c>
      <c r="E150" s="13">
        <f>E148+E146+E143+E140+E138+E135+E133</f>
        <v>17077339.125</v>
      </c>
    </row>
    <row r="151" spans="1:5" ht="16" thickBot="1">
      <c r="A151" s="9"/>
      <c r="B151" s="7" t="s">
        <v>273</v>
      </c>
      <c r="C151" s="14">
        <f t="shared" ref="C151:E152" si="15">C150</f>
        <v>15489650</v>
      </c>
      <c r="D151" s="14">
        <f t="shared" si="15"/>
        <v>16264132.5</v>
      </c>
      <c r="E151" s="14">
        <f t="shared" si="15"/>
        <v>17077339.125</v>
      </c>
    </row>
    <row r="152" spans="1:5" ht="32" thickTop="1" thickBot="1">
      <c r="A152" s="7" t="s">
        <v>282</v>
      </c>
      <c r="B152" s="7" t="s">
        <v>273</v>
      </c>
      <c r="C152" s="14">
        <f t="shared" si="15"/>
        <v>15489650</v>
      </c>
      <c r="D152" s="14">
        <f t="shared" si="15"/>
        <v>16264132.5</v>
      </c>
      <c r="E152" s="14">
        <f t="shared" si="15"/>
        <v>17077339.125</v>
      </c>
    </row>
    <row r="153" spans="1:5" ht="31.5" thickTop="1">
      <c r="A153" s="7" t="s">
        <v>283</v>
      </c>
      <c r="B153" s="7" t="s">
        <v>251</v>
      </c>
      <c r="C153" s="8">
        <f>C154</f>
        <v>511557</v>
      </c>
      <c r="D153" s="8">
        <f>D154</f>
        <v>537134.85</v>
      </c>
      <c r="E153" s="8">
        <f>E154</f>
        <v>563991.59250000003</v>
      </c>
    </row>
    <row r="154" spans="1:5" ht="31">
      <c r="A154" s="9"/>
      <c r="B154" s="9" t="s">
        <v>278</v>
      </c>
      <c r="C154" s="10">
        <v>511557</v>
      </c>
      <c r="D154" s="11">
        <f>1.05*C154</f>
        <v>537134.85</v>
      </c>
      <c r="E154" s="11">
        <f>1.05*D154</f>
        <v>563991.59250000003</v>
      </c>
    </row>
    <row r="155" spans="1:5" ht="31">
      <c r="A155" s="9"/>
      <c r="B155" s="7" t="s">
        <v>191</v>
      </c>
      <c r="C155" s="8">
        <f>C156+C157+C158</f>
        <v>6556365</v>
      </c>
      <c r="D155" s="8">
        <f>D156+D157+D158</f>
        <v>6884183.25</v>
      </c>
      <c r="E155" s="8">
        <f>E156+E157+E158</f>
        <v>7228392.4125000006</v>
      </c>
    </row>
    <row r="156" spans="1:5" ht="31">
      <c r="A156" s="9"/>
      <c r="B156" s="9" t="s">
        <v>192</v>
      </c>
      <c r="C156" s="10">
        <v>150000</v>
      </c>
      <c r="D156" s="11">
        <f>1.05*C156</f>
        <v>157500</v>
      </c>
      <c r="E156" s="11">
        <f>1.05*D156</f>
        <v>165375</v>
      </c>
    </row>
    <row r="157" spans="1:5" ht="15.5">
      <c r="A157" s="9"/>
      <c r="B157" s="9" t="s">
        <v>194</v>
      </c>
      <c r="C157" s="10">
        <v>4361960</v>
      </c>
      <c r="D157" s="11">
        <f t="shared" ref="D157:E158" si="16">1.05*C157</f>
        <v>4580058</v>
      </c>
      <c r="E157" s="11">
        <f t="shared" si="16"/>
        <v>4809060.9000000004</v>
      </c>
    </row>
    <row r="158" spans="1:5" ht="15.5">
      <c r="A158" s="9"/>
      <c r="B158" s="9" t="s">
        <v>254</v>
      </c>
      <c r="C158" s="10">
        <v>2044405</v>
      </c>
      <c r="D158" s="11">
        <f t="shared" si="16"/>
        <v>2146625.25</v>
      </c>
      <c r="E158" s="11">
        <f t="shared" si="16"/>
        <v>2253956.5125000002</v>
      </c>
    </row>
    <row r="159" spans="1:5" ht="15.5">
      <c r="A159" s="9"/>
      <c r="B159" s="7" t="s">
        <v>258</v>
      </c>
      <c r="C159" s="8">
        <f>C160+C161</f>
        <v>2200000</v>
      </c>
      <c r="D159" s="8">
        <f>D160+D161</f>
        <v>2310000</v>
      </c>
      <c r="E159" s="8">
        <f>E160+E161</f>
        <v>2425500</v>
      </c>
    </row>
    <row r="160" spans="1:5" ht="15.5">
      <c r="A160" s="9"/>
      <c r="B160" s="9" t="s">
        <v>260</v>
      </c>
      <c r="C160" s="10">
        <v>1200000</v>
      </c>
      <c r="D160" s="11">
        <f>1.05*C160</f>
        <v>1260000</v>
      </c>
      <c r="E160" s="11">
        <f>1.05*D160</f>
        <v>1323000</v>
      </c>
    </row>
    <row r="161" spans="1:5" ht="15.5">
      <c r="A161" s="16"/>
      <c r="B161" s="9" t="s">
        <v>261</v>
      </c>
      <c r="C161" s="10">
        <v>1000000</v>
      </c>
      <c r="D161" s="11">
        <f>1.05*C161</f>
        <v>1050000</v>
      </c>
      <c r="E161" s="11">
        <f>1.05*D161</f>
        <v>1102500</v>
      </c>
    </row>
    <row r="162" spans="1:5" ht="15.5">
      <c r="A162" s="9"/>
      <c r="B162" s="7" t="s">
        <v>200</v>
      </c>
      <c r="C162" s="8">
        <f>C163+C164</f>
        <v>2436950</v>
      </c>
      <c r="D162" s="8">
        <f>D163+D164</f>
        <v>2558797.5</v>
      </c>
      <c r="E162" s="8">
        <f>E163+E164</f>
        <v>2686737.375</v>
      </c>
    </row>
    <row r="163" spans="1:5" ht="31">
      <c r="A163" s="9"/>
      <c r="B163" s="9" t="s">
        <v>201</v>
      </c>
      <c r="C163" s="10">
        <v>773200</v>
      </c>
      <c r="D163" s="11">
        <f>1.05*C163</f>
        <v>811860</v>
      </c>
      <c r="E163" s="11">
        <f>1.05*D163</f>
        <v>852453</v>
      </c>
    </row>
    <row r="164" spans="1:5" ht="31">
      <c r="A164" s="9"/>
      <c r="B164" s="9" t="s">
        <v>202</v>
      </c>
      <c r="C164" s="10">
        <v>1663750</v>
      </c>
      <c r="D164" s="11">
        <f>1.05*C164</f>
        <v>1746937.5</v>
      </c>
      <c r="E164" s="11">
        <f>1.05*D164</f>
        <v>1834284.375</v>
      </c>
    </row>
    <row r="165" spans="1:5" ht="31">
      <c r="A165" s="9"/>
      <c r="B165" s="7" t="s">
        <v>205</v>
      </c>
      <c r="C165" s="8">
        <f>C166+C167</f>
        <v>2480182</v>
      </c>
      <c r="D165" s="8">
        <f t="shared" ref="D165:E165" si="17">D166+D167</f>
        <v>2604191.1</v>
      </c>
      <c r="E165" s="8">
        <f t="shared" si="17"/>
        <v>2734400.6550000003</v>
      </c>
    </row>
    <row r="166" spans="1:5" ht="31">
      <c r="A166" s="9"/>
      <c r="B166" s="9" t="s">
        <v>206</v>
      </c>
      <c r="C166" s="10">
        <v>2480182</v>
      </c>
      <c r="D166" s="11">
        <f>1.05*C166</f>
        <v>2604191.1</v>
      </c>
      <c r="E166" s="11">
        <f>1.05*D166</f>
        <v>2734400.6550000003</v>
      </c>
    </row>
    <row r="167" spans="1:5" ht="31">
      <c r="A167" s="9"/>
      <c r="B167" s="9" t="s">
        <v>263</v>
      </c>
      <c r="C167" s="10">
        <v>0</v>
      </c>
      <c r="D167" s="11">
        <f>1.05*C167</f>
        <v>0</v>
      </c>
      <c r="E167" s="11">
        <f>1.05*D167</f>
        <v>0</v>
      </c>
    </row>
    <row r="168" spans="1:5" ht="15.5">
      <c r="A168" s="9"/>
      <c r="B168" s="7" t="s">
        <v>208</v>
      </c>
      <c r="C168" s="8">
        <f>C169</f>
        <v>198000</v>
      </c>
      <c r="D168" s="8">
        <f>D169</f>
        <v>207900</v>
      </c>
      <c r="E168" s="8">
        <f>E169</f>
        <v>218295</v>
      </c>
    </row>
    <row r="169" spans="1:5" ht="31">
      <c r="A169" s="9"/>
      <c r="B169" s="9" t="s">
        <v>209</v>
      </c>
      <c r="C169" s="10">
        <v>198000</v>
      </c>
      <c r="D169" s="11">
        <f>1.05*C169</f>
        <v>207900</v>
      </c>
      <c r="E169" s="11">
        <f>1.05*D169</f>
        <v>218295</v>
      </c>
    </row>
    <row r="170" spans="1:5" ht="15.5">
      <c r="A170" s="9"/>
      <c r="B170" s="7" t="s">
        <v>210</v>
      </c>
      <c r="C170" s="8">
        <f>C171</f>
        <v>1327300</v>
      </c>
      <c r="D170" s="8">
        <f>D171</f>
        <v>1393665</v>
      </c>
      <c r="E170" s="8">
        <f>E171</f>
        <v>1463348.25</v>
      </c>
    </row>
    <row r="171" spans="1:5" ht="15.5">
      <c r="A171" s="9"/>
      <c r="B171" s="9" t="s">
        <v>265</v>
      </c>
      <c r="C171" s="10">
        <v>1327300</v>
      </c>
      <c r="D171" s="11">
        <f>1.05*C171</f>
        <v>1393665</v>
      </c>
      <c r="E171" s="11">
        <f>1.05*D171</f>
        <v>1463348.25</v>
      </c>
    </row>
    <row r="172" spans="1:5" ht="31">
      <c r="A172" s="9"/>
      <c r="B172" s="7" t="s">
        <v>267</v>
      </c>
      <c r="C172" s="8">
        <f>C173</f>
        <v>100000</v>
      </c>
      <c r="D172" s="8">
        <f>D173</f>
        <v>105000</v>
      </c>
      <c r="E172" s="8">
        <f>E173</f>
        <v>110250</v>
      </c>
    </row>
    <row r="173" spans="1:5" ht="31">
      <c r="A173" s="9"/>
      <c r="B173" s="9" t="s">
        <v>269</v>
      </c>
      <c r="C173" s="10">
        <v>100000</v>
      </c>
      <c r="D173" s="11">
        <f>1.05*C173</f>
        <v>105000</v>
      </c>
      <c r="E173" s="11">
        <f>1.05*D173</f>
        <v>110250</v>
      </c>
    </row>
    <row r="174" spans="1:5" ht="31">
      <c r="A174" s="9"/>
      <c r="B174" s="7" t="s">
        <v>270</v>
      </c>
      <c r="C174" s="8">
        <f>C175</f>
        <v>490000</v>
      </c>
      <c r="D174" s="8">
        <f>D175</f>
        <v>514500</v>
      </c>
      <c r="E174" s="8">
        <f>E175</f>
        <v>540225</v>
      </c>
    </row>
    <row r="175" spans="1:5" ht="31">
      <c r="A175" s="9"/>
      <c r="B175" s="9" t="s">
        <v>272</v>
      </c>
      <c r="C175" s="10">
        <v>490000</v>
      </c>
      <c r="D175" s="11">
        <f>1.05*C175</f>
        <v>514500</v>
      </c>
      <c r="E175" s="11">
        <f>1.05*D175</f>
        <v>540225</v>
      </c>
    </row>
    <row r="176" spans="1:5" ht="15.5">
      <c r="A176" s="9"/>
      <c r="B176" s="7" t="s">
        <v>236</v>
      </c>
      <c r="C176" s="13">
        <f>C174+C172+C170+C168+C165+C162+C159+C155+C153</f>
        <v>16300354</v>
      </c>
      <c r="D176" s="13">
        <f>D174+D172+D170+D168+D165+D162+D159+D155+D153</f>
        <v>17115371.699999999</v>
      </c>
      <c r="E176" s="13">
        <f>E174+E172+E170+E168+E165+E162+E159+E155+E153</f>
        <v>17971140.285000004</v>
      </c>
    </row>
    <row r="177" spans="1:5" ht="16" thickBot="1">
      <c r="A177" s="9"/>
      <c r="B177" s="7" t="s">
        <v>273</v>
      </c>
      <c r="C177" s="14">
        <f t="shared" ref="C177:E178" si="18">C176</f>
        <v>16300354</v>
      </c>
      <c r="D177" s="14">
        <f t="shared" si="18"/>
        <v>17115371.699999999</v>
      </c>
      <c r="E177" s="14">
        <f t="shared" si="18"/>
        <v>17971140.285000004</v>
      </c>
    </row>
    <row r="178" spans="1:5" ht="32" thickTop="1" thickBot="1">
      <c r="A178" s="7" t="s">
        <v>284</v>
      </c>
      <c r="B178" s="7" t="s">
        <v>273</v>
      </c>
      <c r="C178" s="14">
        <f t="shared" si="18"/>
        <v>16300354</v>
      </c>
      <c r="D178" s="14">
        <f t="shared" si="18"/>
        <v>17115371.699999999</v>
      </c>
      <c r="E178" s="14">
        <f t="shared" si="18"/>
        <v>17971140.285000004</v>
      </c>
    </row>
    <row r="179" spans="1:5" ht="31.5" thickTop="1">
      <c r="A179" s="7" t="s">
        <v>285</v>
      </c>
      <c r="B179" s="7" t="s">
        <v>251</v>
      </c>
      <c r="C179" s="8">
        <f>C180</f>
        <v>262000</v>
      </c>
      <c r="D179" s="8">
        <f>D180</f>
        <v>275100</v>
      </c>
      <c r="E179" s="8">
        <f>E180</f>
        <v>288855</v>
      </c>
    </row>
    <row r="180" spans="1:5" ht="31">
      <c r="A180" s="9"/>
      <c r="B180" s="9" t="s">
        <v>278</v>
      </c>
      <c r="C180" s="10">
        <v>262000</v>
      </c>
      <c r="D180" s="11">
        <f>1.05*C180</f>
        <v>275100</v>
      </c>
      <c r="E180" s="11">
        <f>1.05*D180</f>
        <v>288855</v>
      </c>
    </row>
    <row r="181" spans="1:5" ht="31">
      <c r="A181" s="9"/>
      <c r="B181" s="7" t="s">
        <v>191</v>
      </c>
      <c r="C181" s="8">
        <f>C182+C183+C184</f>
        <v>5149370</v>
      </c>
      <c r="D181" s="8">
        <f>D182+D183+D184</f>
        <v>5406838.5</v>
      </c>
      <c r="E181" s="8">
        <f>E182+E183+E184</f>
        <v>5677180.4250000007</v>
      </c>
    </row>
    <row r="182" spans="1:5" ht="31">
      <c r="A182" s="9"/>
      <c r="B182" s="9" t="s">
        <v>192</v>
      </c>
      <c r="C182" s="10">
        <v>19000</v>
      </c>
      <c r="D182" s="11">
        <f>1.05*C182</f>
        <v>19950</v>
      </c>
      <c r="E182" s="11">
        <f>1.05*D182</f>
        <v>20947.5</v>
      </c>
    </row>
    <row r="183" spans="1:5" ht="15.5">
      <c r="A183" s="9"/>
      <c r="B183" s="9" t="s">
        <v>193</v>
      </c>
      <c r="C183" s="10">
        <v>1537200</v>
      </c>
      <c r="D183" s="11">
        <f t="shared" ref="D183:E184" si="19">1.05*C183</f>
        <v>1614060</v>
      </c>
      <c r="E183" s="11">
        <f t="shared" si="19"/>
        <v>1694763</v>
      </c>
    </row>
    <row r="184" spans="1:5" ht="15.5">
      <c r="A184" s="9"/>
      <c r="B184" s="9" t="s">
        <v>254</v>
      </c>
      <c r="C184" s="10">
        <v>3593170</v>
      </c>
      <c r="D184" s="11">
        <f t="shared" si="19"/>
        <v>3772828.5</v>
      </c>
      <c r="E184" s="11">
        <f t="shared" si="19"/>
        <v>3961469.9250000003</v>
      </c>
    </row>
    <row r="185" spans="1:5" ht="15.5">
      <c r="A185" s="9"/>
      <c r="B185" s="7" t="s">
        <v>258</v>
      </c>
      <c r="C185" s="8">
        <f>C186+C187+C188</f>
        <v>4109318</v>
      </c>
      <c r="D185" s="8">
        <f>D186+D187+D188</f>
        <v>4314783.9000000004</v>
      </c>
      <c r="E185" s="8">
        <f>E186+E187+E188</f>
        <v>4530523.0950000007</v>
      </c>
    </row>
    <row r="186" spans="1:5" ht="15.5">
      <c r="A186" s="9"/>
      <c r="B186" s="9" t="s">
        <v>259</v>
      </c>
      <c r="C186" s="10">
        <v>312000</v>
      </c>
      <c r="D186" s="11">
        <f>1.05*C186</f>
        <v>327600</v>
      </c>
      <c r="E186" s="11">
        <f>1.05*D186</f>
        <v>343980</v>
      </c>
    </row>
    <row r="187" spans="1:5" ht="15.5">
      <c r="A187" s="9"/>
      <c r="B187" s="9" t="s">
        <v>260</v>
      </c>
      <c r="C187" s="10">
        <v>1661400</v>
      </c>
      <c r="D187" s="11">
        <f t="shared" ref="D187:E188" si="20">1.05*C187</f>
        <v>1744470</v>
      </c>
      <c r="E187" s="11">
        <f t="shared" si="20"/>
        <v>1831693.5</v>
      </c>
    </row>
    <row r="188" spans="1:5" ht="15.5">
      <c r="A188" s="9"/>
      <c r="B188" s="9" t="s">
        <v>261</v>
      </c>
      <c r="C188" s="10">
        <v>2135918</v>
      </c>
      <c r="D188" s="11">
        <f t="shared" si="20"/>
        <v>2242713.9</v>
      </c>
      <c r="E188" s="11">
        <f t="shared" si="20"/>
        <v>2354849.5950000002</v>
      </c>
    </row>
    <row r="189" spans="1:5" ht="15.5">
      <c r="A189" s="9"/>
      <c r="B189" s="7" t="s">
        <v>200</v>
      </c>
      <c r="C189" s="8">
        <f>C190+C191</f>
        <v>2866860</v>
      </c>
      <c r="D189" s="8">
        <f>D190+D191</f>
        <v>3010203</v>
      </c>
      <c r="E189" s="8">
        <f>E190+E191</f>
        <v>3160713.1500000004</v>
      </c>
    </row>
    <row r="190" spans="1:5" ht="31">
      <c r="A190" s="9"/>
      <c r="B190" s="9" t="s">
        <v>201</v>
      </c>
      <c r="C190" s="10">
        <v>700440</v>
      </c>
      <c r="D190" s="11">
        <f>C190*1.05</f>
        <v>735462</v>
      </c>
      <c r="E190" s="11">
        <f>D190*1.05</f>
        <v>772235.1</v>
      </c>
    </row>
    <row r="191" spans="1:5" ht="31">
      <c r="A191" s="9"/>
      <c r="B191" s="9" t="s">
        <v>202</v>
      </c>
      <c r="C191" s="10">
        <v>2166420</v>
      </c>
      <c r="D191" s="11">
        <f>C191*1.05</f>
        <v>2274741</v>
      </c>
      <c r="E191" s="11">
        <f>D191*1.05</f>
        <v>2388478.0500000003</v>
      </c>
    </row>
    <row r="192" spans="1:5" ht="31">
      <c r="A192" s="9"/>
      <c r="B192" s="7" t="s">
        <v>205</v>
      </c>
      <c r="C192" s="8">
        <f>C193</f>
        <v>20000</v>
      </c>
      <c r="D192" s="8">
        <f>D193</f>
        <v>21000</v>
      </c>
      <c r="E192" s="8">
        <f>E193</f>
        <v>22050</v>
      </c>
    </row>
    <row r="193" spans="1:5" ht="31">
      <c r="A193" s="9"/>
      <c r="B193" s="9" t="s">
        <v>263</v>
      </c>
      <c r="C193" s="10">
        <v>20000</v>
      </c>
      <c r="D193" s="11">
        <f>C193*1.05</f>
        <v>21000</v>
      </c>
      <c r="E193" s="11">
        <f>D193*1.05</f>
        <v>22050</v>
      </c>
    </row>
    <row r="194" spans="1:5" ht="15.5">
      <c r="A194" s="9"/>
      <c r="B194" s="7" t="s">
        <v>210</v>
      </c>
      <c r="C194" s="8">
        <f>C195</f>
        <v>141000</v>
      </c>
      <c r="D194" s="8">
        <f>D195</f>
        <v>148050</v>
      </c>
      <c r="E194" s="8">
        <f>E195</f>
        <v>155452.5</v>
      </c>
    </row>
    <row r="195" spans="1:5" ht="46.5">
      <c r="A195" s="9"/>
      <c r="B195" s="9" t="s">
        <v>211</v>
      </c>
      <c r="C195" s="10">
        <v>141000</v>
      </c>
      <c r="D195" s="11">
        <f>1.05*C195</f>
        <v>148050</v>
      </c>
      <c r="E195" s="11">
        <f>1.05*D195</f>
        <v>155452.5</v>
      </c>
    </row>
    <row r="196" spans="1:5" ht="31">
      <c r="A196" s="9"/>
      <c r="B196" s="7" t="s">
        <v>267</v>
      </c>
      <c r="C196" s="8">
        <f>SUM(C197:C198)</f>
        <v>2752652</v>
      </c>
      <c r="D196" s="8">
        <f t="shared" ref="D196:E196" si="21">SUM(D197:D198)</f>
        <v>2890284.6</v>
      </c>
      <c r="E196" s="8">
        <f t="shared" si="21"/>
        <v>3034798.83</v>
      </c>
    </row>
    <row r="197" spans="1:5" ht="31">
      <c r="A197" s="9"/>
      <c r="B197" s="9" t="s">
        <v>286</v>
      </c>
      <c r="C197" s="12">
        <v>85000</v>
      </c>
      <c r="D197" s="12">
        <f>C197*1.05</f>
        <v>89250</v>
      </c>
      <c r="E197" s="12">
        <f>D197*1.05</f>
        <v>93712.5</v>
      </c>
    </row>
    <row r="198" spans="1:5" ht="31">
      <c r="A198" s="9"/>
      <c r="B198" s="9" t="s">
        <v>269</v>
      </c>
      <c r="C198" s="10">
        <v>2667652</v>
      </c>
      <c r="D198" s="12">
        <f t="shared" ref="D198:E200" si="22">C198*1.05</f>
        <v>2801034.6</v>
      </c>
      <c r="E198" s="12">
        <f t="shared" si="22"/>
        <v>2941086.33</v>
      </c>
    </row>
    <row r="199" spans="1:5" ht="31">
      <c r="A199" s="9"/>
      <c r="B199" s="7" t="s">
        <v>270</v>
      </c>
      <c r="C199" s="8">
        <f>C200</f>
        <v>260000</v>
      </c>
      <c r="D199" s="12">
        <f t="shared" si="22"/>
        <v>273000</v>
      </c>
      <c r="E199" s="12">
        <f t="shared" si="22"/>
        <v>286650</v>
      </c>
    </row>
    <row r="200" spans="1:5" ht="31">
      <c r="A200" s="9"/>
      <c r="B200" s="9" t="s">
        <v>272</v>
      </c>
      <c r="C200" s="10">
        <v>260000</v>
      </c>
      <c r="D200" s="12">
        <f t="shared" si="22"/>
        <v>273000</v>
      </c>
      <c r="E200" s="12">
        <f t="shared" si="22"/>
        <v>286650</v>
      </c>
    </row>
    <row r="201" spans="1:5" ht="15.5">
      <c r="A201" s="9"/>
      <c r="B201" s="7" t="s">
        <v>236</v>
      </c>
      <c r="C201" s="13">
        <f>C199+C196+C194+C192+C189+C185+C181+C179</f>
        <v>15561200</v>
      </c>
      <c r="D201" s="13">
        <f>D199+D196+D194+D192+D189+D185+D181+D179</f>
        <v>16339260</v>
      </c>
      <c r="E201" s="13">
        <f>E199+E196+E194+E192+E189+E185+E181+E179</f>
        <v>17156223</v>
      </c>
    </row>
    <row r="202" spans="1:5" ht="16" thickBot="1">
      <c r="A202" s="9"/>
      <c r="B202" s="7" t="s">
        <v>273</v>
      </c>
      <c r="C202" s="14">
        <f t="shared" ref="C202:E203" si="23">C201</f>
        <v>15561200</v>
      </c>
      <c r="D202" s="14">
        <f t="shared" si="23"/>
        <v>16339260</v>
      </c>
      <c r="E202" s="14">
        <f t="shared" si="23"/>
        <v>17156223</v>
      </c>
    </row>
    <row r="203" spans="1:5" ht="32" thickTop="1" thickBot="1">
      <c r="A203" s="7" t="s">
        <v>287</v>
      </c>
      <c r="B203" s="7" t="s">
        <v>273</v>
      </c>
      <c r="C203" s="14">
        <f t="shared" si="23"/>
        <v>15561200</v>
      </c>
      <c r="D203" s="14">
        <f t="shared" si="23"/>
        <v>16339260</v>
      </c>
      <c r="E203" s="14">
        <f t="shared" si="23"/>
        <v>17156223</v>
      </c>
    </row>
    <row r="204" spans="1:5" ht="31.5" thickTop="1">
      <c r="A204" s="7" t="s">
        <v>288</v>
      </c>
      <c r="B204" s="7" t="s">
        <v>251</v>
      </c>
      <c r="C204" s="8">
        <f>C205+C206</f>
        <v>2658600</v>
      </c>
      <c r="D204" s="8">
        <f>D205+D206</f>
        <v>2791530</v>
      </c>
      <c r="E204" s="8">
        <f>E205+E206</f>
        <v>2931106.5</v>
      </c>
    </row>
    <row r="205" spans="1:5" ht="31">
      <c r="A205" s="9"/>
      <c r="B205" s="9" t="s">
        <v>278</v>
      </c>
      <c r="C205" s="10">
        <v>1071000</v>
      </c>
      <c r="D205" s="11">
        <f>1.05*C205</f>
        <v>1124550</v>
      </c>
      <c r="E205" s="11">
        <f>1.05*D205</f>
        <v>1180777.5</v>
      </c>
    </row>
    <row r="206" spans="1:5" ht="15.5">
      <c r="A206" s="9"/>
      <c r="B206" s="9" t="s">
        <v>252</v>
      </c>
      <c r="C206" s="10">
        <v>1587600</v>
      </c>
      <c r="D206" s="11">
        <f>1.05*C206</f>
        <v>1666980</v>
      </c>
      <c r="E206" s="11">
        <f>1.05*D206</f>
        <v>1750329</v>
      </c>
    </row>
    <row r="207" spans="1:5" ht="31">
      <c r="A207" s="9"/>
      <c r="B207" s="7" t="s">
        <v>191</v>
      </c>
      <c r="C207" s="8">
        <f>C208+C209</f>
        <v>2130909</v>
      </c>
      <c r="D207" s="8">
        <f>D208+D209</f>
        <v>2237454.4500000002</v>
      </c>
      <c r="E207" s="8">
        <f>E208+E209</f>
        <v>0</v>
      </c>
    </row>
    <row r="208" spans="1:5" ht="31">
      <c r="A208" s="9"/>
      <c r="B208" s="9" t="s">
        <v>192</v>
      </c>
      <c r="C208" s="10"/>
      <c r="D208" s="11"/>
      <c r="E208" s="15"/>
    </row>
    <row r="209" spans="1:5" ht="15.5">
      <c r="A209" s="9"/>
      <c r="B209" s="9" t="s">
        <v>254</v>
      </c>
      <c r="C209" s="10">
        <v>2130909</v>
      </c>
      <c r="D209" s="11">
        <f>1.05*C209</f>
        <v>2237454.4500000002</v>
      </c>
      <c r="E209" s="15"/>
    </row>
    <row r="210" spans="1:5" ht="31">
      <c r="A210" s="9"/>
      <c r="B210" s="7" t="s">
        <v>195</v>
      </c>
      <c r="C210" s="8">
        <f>C211</f>
        <v>5613600</v>
      </c>
      <c r="D210" s="8">
        <f>D211</f>
        <v>5894280</v>
      </c>
      <c r="E210" s="8">
        <f>E211</f>
        <v>6188994</v>
      </c>
    </row>
    <row r="211" spans="1:5" ht="15.5">
      <c r="A211" s="9"/>
      <c r="B211" s="9" t="s">
        <v>233</v>
      </c>
      <c r="C211" s="10">
        <v>5613600</v>
      </c>
      <c r="D211" s="11">
        <f>1.05*C211</f>
        <v>5894280</v>
      </c>
      <c r="E211" s="11">
        <f>1.05*D211</f>
        <v>6188994</v>
      </c>
    </row>
    <row r="212" spans="1:5" ht="15.5">
      <c r="A212" s="9"/>
      <c r="B212" s="7" t="s">
        <v>258</v>
      </c>
      <c r="C212" s="8">
        <f>C213+C214</f>
        <v>3790300</v>
      </c>
      <c r="D212" s="8">
        <f>D213+D214</f>
        <v>3979815</v>
      </c>
      <c r="E212" s="8">
        <f>E213+E214</f>
        <v>4178805.75</v>
      </c>
    </row>
    <row r="213" spans="1:5" ht="15.5">
      <c r="A213" s="9"/>
      <c r="B213" s="9" t="s">
        <v>289</v>
      </c>
      <c r="C213" s="10">
        <v>2043300</v>
      </c>
      <c r="D213" s="11">
        <f>1.05*C213</f>
        <v>2145465</v>
      </c>
      <c r="E213" s="11">
        <f>1.05*D213</f>
        <v>2252738.25</v>
      </c>
    </row>
    <row r="214" spans="1:5" ht="15.5">
      <c r="A214" s="9"/>
      <c r="B214" s="9" t="s">
        <v>261</v>
      </c>
      <c r="C214" s="10">
        <v>1747000</v>
      </c>
      <c r="D214" s="11">
        <f>1.05*C214</f>
        <v>1834350</v>
      </c>
      <c r="E214" s="11">
        <f>1.05*D214</f>
        <v>1926067.5</v>
      </c>
    </row>
    <row r="215" spans="1:5" ht="15.5">
      <c r="A215" s="9"/>
      <c r="B215" s="7" t="s">
        <v>200</v>
      </c>
      <c r="C215" s="8">
        <f>SUM(C216:C217)</f>
        <v>4746900</v>
      </c>
      <c r="D215" s="8">
        <f>D216+D220</f>
        <v>787605</v>
      </c>
      <c r="E215" s="8">
        <f>E216+E220</f>
        <v>826985.25</v>
      </c>
    </row>
    <row r="216" spans="1:5" ht="31">
      <c r="A216" s="9"/>
      <c r="B216" s="9" t="s">
        <v>201</v>
      </c>
      <c r="C216" s="10">
        <v>750100</v>
      </c>
      <c r="D216" s="11">
        <f>1.05*C216</f>
        <v>787605</v>
      </c>
      <c r="E216" s="11">
        <f>1.05*D216</f>
        <v>826985.25</v>
      </c>
    </row>
    <row r="217" spans="1:5" ht="31">
      <c r="A217" s="9"/>
      <c r="B217" s="9" t="s">
        <v>202</v>
      </c>
      <c r="C217" s="10">
        <v>3996800</v>
      </c>
      <c r="D217" s="11">
        <f>1.05*C217</f>
        <v>4196640</v>
      </c>
      <c r="E217" s="11">
        <f>1.05*D217</f>
        <v>4406472</v>
      </c>
    </row>
    <row r="218" spans="1:5" ht="31">
      <c r="A218" s="9"/>
      <c r="B218" s="7" t="s">
        <v>205</v>
      </c>
      <c r="C218" s="8">
        <f>C219+C220</f>
        <v>5350800</v>
      </c>
      <c r="D218" s="8">
        <f t="shared" ref="D218:E218" si="24">D219+D220</f>
        <v>5618340</v>
      </c>
      <c r="E218" s="8">
        <f t="shared" si="24"/>
        <v>5899257</v>
      </c>
    </row>
    <row r="219" spans="1:5" ht="31">
      <c r="A219" s="9"/>
      <c r="B219" s="9" t="s">
        <v>206</v>
      </c>
      <c r="C219" s="10">
        <v>5350800</v>
      </c>
      <c r="D219" s="11">
        <f>1.05*C219</f>
        <v>5618340</v>
      </c>
      <c r="E219" s="11">
        <f>1.05*D219</f>
        <v>5899257</v>
      </c>
    </row>
    <row r="220" spans="1:5" ht="31">
      <c r="A220" s="9"/>
      <c r="B220" s="9" t="s">
        <v>263</v>
      </c>
      <c r="C220" s="10"/>
      <c r="D220" s="11"/>
      <c r="E220" s="15"/>
    </row>
    <row r="221" spans="1:5" ht="31">
      <c r="A221" s="9"/>
      <c r="B221" s="7" t="s">
        <v>290</v>
      </c>
      <c r="C221" s="8">
        <f>C222</f>
        <v>2071125</v>
      </c>
      <c r="D221" s="8">
        <f>D222</f>
        <v>2174681.25</v>
      </c>
      <c r="E221" s="8">
        <f>E222</f>
        <v>2283415.3125</v>
      </c>
    </row>
    <row r="222" spans="1:5" ht="31">
      <c r="A222" s="9"/>
      <c r="B222" s="9" t="s">
        <v>291</v>
      </c>
      <c r="C222" s="10">
        <v>2071125</v>
      </c>
      <c r="D222" s="11">
        <f>1.05*C222</f>
        <v>2174681.25</v>
      </c>
      <c r="E222" s="11">
        <f>1.05*D222</f>
        <v>2283415.3125</v>
      </c>
    </row>
    <row r="223" spans="1:5" ht="31">
      <c r="A223" s="9"/>
      <c r="B223" s="7" t="s">
        <v>270</v>
      </c>
      <c r="C223" s="8">
        <f>C224</f>
        <v>1527452</v>
      </c>
      <c r="D223" s="8">
        <f>D224</f>
        <v>1603824.6</v>
      </c>
      <c r="E223" s="8">
        <f>E224</f>
        <v>1684015.83</v>
      </c>
    </row>
    <row r="224" spans="1:5" ht="31.5" thickBot="1">
      <c r="A224" s="9"/>
      <c r="B224" s="9" t="s">
        <v>272</v>
      </c>
      <c r="C224" s="17">
        <v>1527452</v>
      </c>
      <c r="D224" s="11">
        <f>1.05*C224</f>
        <v>1603824.6</v>
      </c>
      <c r="E224" s="11">
        <f>1.05*D224</f>
        <v>1684015.83</v>
      </c>
    </row>
    <row r="225" spans="1:5" ht="15.5">
      <c r="A225" s="9"/>
      <c r="B225" s="7" t="s">
        <v>236</v>
      </c>
      <c r="C225" s="13">
        <f>C223+C221+C218+C215+C212+C210+C207+C204</f>
        <v>27889686</v>
      </c>
      <c r="D225" s="13">
        <f>D223+D221+D215+D212+D210+D207+D204</f>
        <v>19469190.300000001</v>
      </c>
      <c r="E225" s="13">
        <f>E223+E221+E215+E212+E210+E207+E204</f>
        <v>18093322.642499998</v>
      </c>
    </row>
    <row r="226" spans="1:5" ht="16" thickBot="1">
      <c r="A226" s="9"/>
      <c r="B226" s="7" t="s">
        <v>273</v>
      </c>
      <c r="C226" s="14">
        <f t="shared" ref="C226:E227" si="25">C225</f>
        <v>27889686</v>
      </c>
      <c r="D226" s="14">
        <f t="shared" si="25"/>
        <v>19469190.300000001</v>
      </c>
      <c r="E226" s="14">
        <f t="shared" si="25"/>
        <v>18093322.642499998</v>
      </c>
    </row>
    <row r="227" spans="1:5" ht="32" thickTop="1" thickBot="1">
      <c r="A227" s="7" t="s">
        <v>292</v>
      </c>
      <c r="B227" s="7" t="s">
        <v>273</v>
      </c>
      <c r="C227" s="14">
        <f t="shared" si="25"/>
        <v>27889686</v>
      </c>
      <c r="D227" s="14">
        <f t="shared" si="25"/>
        <v>19469190.300000001</v>
      </c>
      <c r="E227" s="14">
        <f t="shared" si="25"/>
        <v>18093322.642499998</v>
      </c>
    </row>
    <row r="228" spans="1:5" ht="31.5" thickTop="1">
      <c r="A228" s="7" t="s">
        <v>293</v>
      </c>
      <c r="B228" s="7" t="s">
        <v>251</v>
      </c>
      <c r="C228" s="8">
        <f>C229+C230</f>
        <v>648000</v>
      </c>
      <c r="D228" s="8">
        <f>D229+D230</f>
        <v>665400</v>
      </c>
      <c r="E228" s="8">
        <f>E229+E230</f>
        <v>383670</v>
      </c>
    </row>
    <row r="229" spans="1:5" ht="31">
      <c r="A229" s="9"/>
      <c r="B229" s="9" t="s">
        <v>278</v>
      </c>
      <c r="C229" s="10">
        <v>348000</v>
      </c>
      <c r="D229" s="11">
        <f>1.05*C229</f>
        <v>365400</v>
      </c>
      <c r="E229" s="11">
        <f>1.05*D229</f>
        <v>383670</v>
      </c>
    </row>
    <row r="230" spans="1:5" ht="15.5">
      <c r="A230" s="9"/>
      <c r="B230" s="9" t="s">
        <v>252</v>
      </c>
      <c r="C230" s="10">
        <v>300000</v>
      </c>
      <c r="D230" s="11">
        <f t="shared" ref="D230:D250" si="26">C230+E230</f>
        <v>300000</v>
      </c>
      <c r="E230" s="15"/>
    </row>
    <row r="231" spans="1:5" ht="31">
      <c r="A231" s="9"/>
      <c r="B231" s="7" t="s">
        <v>191</v>
      </c>
      <c r="C231" s="8">
        <f>C232+C233+C234+C235</f>
        <v>8320725</v>
      </c>
      <c r="D231" s="8">
        <f>D232+D233+D234+D235</f>
        <v>8736761.25</v>
      </c>
      <c r="E231" s="8">
        <f>E232+E233+E234+E235</f>
        <v>9173599.3125</v>
      </c>
    </row>
    <row r="232" spans="1:5" ht="31">
      <c r="A232" s="9"/>
      <c r="B232" s="9" t="s">
        <v>192</v>
      </c>
      <c r="C232" s="10">
        <v>761400</v>
      </c>
      <c r="D232" s="11">
        <f t="shared" ref="D232:E235" si="27">1.05*C232</f>
        <v>799470</v>
      </c>
      <c r="E232" s="11">
        <f t="shared" si="27"/>
        <v>839443.5</v>
      </c>
    </row>
    <row r="233" spans="1:5" ht="15.5">
      <c r="A233" s="9"/>
      <c r="B233" s="9" t="s">
        <v>194</v>
      </c>
      <c r="C233" s="10">
        <v>2369400</v>
      </c>
      <c r="D233" s="11">
        <f t="shared" si="27"/>
        <v>2487870</v>
      </c>
      <c r="E233" s="11">
        <f t="shared" si="27"/>
        <v>2612263.5</v>
      </c>
    </row>
    <row r="234" spans="1:5" ht="15.5">
      <c r="A234" s="9"/>
      <c r="B234" s="9" t="s">
        <v>254</v>
      </c>
      <c r="C234" s="10">
        <v>3874925</v>
      </c>
      <c r="D234" s="11">
        <f t="shared" si="27"/>
        <v>4068671.25</v>
      </c>
      <c r="E234" s="11">
        <f t="shared" si="27"/>
        <v>4272104.8125</v>
      </c>
    </row>
    <row r="235" spans="1:5" ht="15.5">
      <c r="A235" s="9"/>
      <c r="B235" s="9" t="s">
        <v>232</v>
      </c>
      <c r="C235" s="10">
        <v>1315000</v>
      </c>
      <c r="D235" s="11">
        <f t="shared" si="27"/>
        <v>1380750</v>
      </c>
      <c r="E235" s="11">
        <f t="shared" si="27"/>
        <v>1449787.5</v>
      </c>
    </row>
    <row r="236" spans="1:5" ht="31">
      <c r="A236" s="9"/>
      <c r="B236" s="7" t="s">
        <v>195</v>
      </c>
      <c r="C236" s="8">
        <f>C237+C238</f>
        <v>2552000</v>
      </c>
      <c r="D236" s="8">
        <f>D237+D238</f>
        <v>2679600</v>
      </c>
      <c r="E236" s="8">
        <f>E237+E238</f>
        <v>2813580</v>
      </c>
    </row>
    <row r="237" spans="1:5" ht="15.5">
      <c r="A237" s="9"/>
      <c r="B237" s="9" t="s">
        <v>233</v>
      </c>
      <c r="C237" s="10">
        <v>2052000</v>
      </c>
      <c r="D237" s="11">
        <f>1.05*C237</f>
        <v>2154600</v>
      </c>
      <c r="E237" s="11">
        <f>1.05*D237</f>
        <v>2262330</v>
      </c>
    </row>
    <row r="238" spans="1:5" ht="31">
      <c r="A238" s="9"/>
      <c r="B238" s="9" t="s">
        <v>196</v>
      </c>
      <c r="C238" s="10">
        <v>500000</v>
      </c>
      <c r="D238" s="11">
        <f>1.05*C238</f>
        <v>525000</v>
      </c>
      <c r="E238" s="11">
        <f>1.05*D238</f>
        <v>551250</v>
      </c>
    </row>
    <row r="239" spans="1:5" ht="15.5">
      <c r="A239" s="9"/>
      <c r="B239" s="7" t="s">
        <v>258</v>
      </c>
      <c r="C239" s="8">
        <f>C240+C241+C242+C243</f>
        <v>1989829</v>
      </c>
      <c r="D239" s="8">
        <f>D240+D241+D242+D243</f>
        <v>2089320.45</v>
      </c>
      <c r="E239" s="8">
        <f>E240+E241+E242+E243</f>
        <v>2193786.4725000001</v>
      </c>
    </row>
    <row r="240" spans="1:5" ht="31">
      <c r="A240" s="9"/>
      <c r="B240" s="9" t="s">
        <v>294</v>
      </c>
      <c r="C240" s="10">
        <v>0</v>
      </c>
      <c r="D240" s="11">
        <f>1.05*C240</f>
        <v>0</v>
      </c>
      <c r="E240" s="11">
        <f>1.05*D240</f>
        <v>0</v>
      </c>
    </row>
    <row r="241" spans="1:5" ht="31">
      <c r="A241" s="9"/>
      <c r="B241" s="9" t="s">
        <v>295</v>
      </c>
      <c r="C241" s="10">
        <v>40000</v>
      </c>
      <c r="D241" s="11">
        <f>1.05*C241</f>
        <v>42000</v>
      </c>
      <c r="E241" s="11">
        <f>1.05*D241</f>
        <v>44100</v>
      </c>
    </row>
    <row r="242" spans="1:5" ht="15.5">
      <c r="A242" s="9"/>
      <c r="B242" s="9" t="s">
        <v>260</v>
      </c>
      <c r="C242" s="10">
        <v>877855</v>
      </c>
      <c r="D242" s="11">
        <f>C242*1.05</f>
        <v>921747.75</v>
      </c>
      <c r="E242" s="11">
        <f>D242*1.05</f>
        <v>967835.13750000007</v>
      </c>
    </row>
    <row r="243" spans="1:5" ht="15.5">
      <c r="A243" s="9"/>
      <c r="B243" s="9" t="s">
        <v>261</v>
      </c>
      <c r="C243" s="629">
        <f>621974+450000</f>
        <v>1071974</v>
      </c>
      <c r="D243" s="11">
        <f>C243*1.05</f>
        <v>1125572.7</v>
      </c>
      <c r="E243" s="11">
        <f>D243*1.05</f>
        <v>1181851.335</v>
      </c>
    </row>
    <row r="244" spans="1:5" ht="15.5">
      <c r="A244" s="9"/>
      <c r="B244" s="7" t="s">
        <v>200</v>
      </c>
      <c r="C244" s="8">
        <f>C245+C246</f>
        <v>2072500</v>
      </c>
      <c r="D244" s="8">
        <f>D245+D246</f>
        <v>2176125</v>
      </c>
      <c r="E244" s="8">
        <f>E245+E246</f>
        <v>2284931.25</v>
      </c>
    </row>
    <row r="245" spans="1:5" ht="31">
      <c r="A245" s="9"/>
      <c r="B245" s="9" t="s">
        <v>201</v>
      </c>
      <c r="C245" s="10">
        <v>2072500</v>
      </c>
      <c r="D245" s="11">
        <f>C245*1.05</f>
        <v>2176125</v>
      </c>
      <c r="E245" s="11">
        <f>D245*1.05</f>
        <v>2284931.25</v>
      </c>
    </row>
    <row r="246" spans="1:5" ht="31">
      <c r="A246" s="9"/>
      <c r="B246" s="9" t="s">
        <v>202</v>
      </c>
      <c r="C246" s="10">
        <v>0</v>
      </c>
      <c r="D246" s="10">
        <v>0</v>
      </c>
      <c r="E246" s="10">
        <v>0</v>
      </c>
    </row>
    <row r="247" spans="1:5" ht="31">
      <c r="A247" s="9"/>
      <c r="B247" s="7" t="s">
        <v>205</v>
      </c>
      <c r="C247" s="8">
        <f>C248+C249+C250</f>
        <v>2273900</v>
      </c>
      <c r="D247" s="8">
        <f>D248+D249+D250</f>
        <v>2387395</v>
      </c>
      <c r="E247" s="8">
        <f>E248+E249+E250</f>
        <v>2502564.75</v>
      </c>
    </row>
    <row r="248" spans="1:5" ht="31">
      <c r="A248" s="9"/>
      <c r="B248" s="9" t="s">
        <v>206</v>
      </c>
      <c r="C248" s="10">
        <v>2269900</v>
      </c>
      <c r="D248" s="11">
        <f>C248*1.05</f>
        <v>2383395</v>
      </c>
      <c r="E248" s="11">
        <f>D248*1.05</f>
        <v>2502564.75</v>
      </c>
    </row>
    <row r="249" spans="1:5" ht="31">
      <c r="A249" s="9"/>
      <c r="B249" s="9" t="s">
        <v>263</v>
      </c>
      <c r="C249" s="10">
        <v>0</v>
      </c>
      <c r="D249" s="11">
        <f>1.05*C249</f>
        <v>0</v>
      </c>
      <c r="E249" s="11">
        <f>1.05*D249</f>
        <v>0</v>
      </c>
    </row>
    <row r="250" spans="1:5" ht="31">
      <c r="A250" s="9"/>
      <c r="B250" s="9" t="s">
        <v>207</v>
      </c>
      <c r="C250" s="10">
        <v>4000</v>
      </c>
      <c r="D250" s="11">
        <f t="shared" si="26"/>
        <v>4000</v>
      </c>
      <c r="E250" s="15"/>
    </row>
    <row r="251" spans="1:5" ht="15.5">
      <c r="A251" s="9"/>
      <c r="B251" s="7" t="s">
        <v>208</v>
      </c>
      <c r="C251" s="8">
        <f>C252</f>
        <v>145200</v>
      </c>
      <c r="D251" s="8">
        <f>D252</f>
        <v>152460</v>
      </c>
      <c r="E251" s="8">
        <f>E252</f>
        <v>160083</v>
      </c>
    </row>
    <row r="252" spans="1:5" ht="31">
      <c r="A252" s="9"/>
      <c r="B252" s="9" t="s">
        <v>209</v>
      </c>
      <c r="C252" s="10">
        <v>145200</v>
      </c>
      <c r="D252" s="11">
        <f>C252*1.05</f>
        <v>152460</v>
      </c>
      <c r="E252" s="11">
        <f>D252*1.05</f>
        <v>160083</v>
      </c>
    </row>
    <row r="253" spans="1:5" ht="15.5">
      <c r="A253" s="9"/>
      <c r="B253" s="7" t="s">
        <v>210</v>
      </c>
      <c r="C253" s="8">
        <f>C254</f>
        <v>2923920</v>
      </c>
      <c r="D253" s="8">
        <f>D254</f>
        <v>3070116</v>
      </c>
      <c r="E253" s="8">
        <f>E254</f>
        <v>3223621.8000000003</v>
      </c>
    </row>
    <row r="254" spans="1:5" ht="15.5">
      <c r="A254" s="9"/>
      <c r="B254" s="9" t="s">
        <v>265</v>
      </c>
      <c r="C254" s="10">
        <v>2923920</v>
      </c>
      <c r="D254" s="11">
        <f>C254*1.05</f>
        <v>3070116</v>
      </c>
      <c r="E254" s="11">
        <f>D254*1.05</f>
        <v>3223621.8000000003</v>
      </c>
    </row>
    <row r="255" spans="1:5" ht="31">
      <c r="A255" s="9"/>
      <c r="B255" s="7" t="s">
        <v>267</v>
      </c>
      <c r="C255" s="8">
        <f>C256</f>
        <v>150000</v>
      </c>
      <c r="D255" s="8">
        <f>D256</f>
        <v>157500</v>
      </c>
      <c r="E255" s="8">
        <f>E256</f>
        <v>165375</v>
      </c>
    </row>
    <row r="256" spans="1:5" ht="31">
      <c r="A256" s="9"/>
      <c r="B256" s="9" t="s">
        <v>269</v>
      </c>
      <c r="C256" s="10">
        <v>150000</v>
      </c>
      <c r="D256" s="11">
        <f>1.05*C256</f>
        <v>157500</v>
      </c>
      <c r="E256" s="11">
        <f>1.05*D256</f>
        <v>165375</v>
      </c>
    </row>
    <row r="257" spans="1:5" ht="31">
      <c r="A257" s="9"/>
      <c r="B257" s="7" t="s">
        <v>270</v>
      </c>
      <c r="C257" s="8">
        <f>C258</f>
        <v>0</v>
      </c>
      <c r="D257" s="8">
        <f>D258</f>
        <v>0</v>
      </c>
      <c r="E257" s="8">
        <f>E258</f>
        <v>0</v>
      </c>
    </row>
    <row r="258" spans="1:5" ht="31">
      <c r="A258" s="9"/>
      <c r="B258" s="9" t="s">
        <v>272</v>
      </c>
      <c r="C258" s="10">
        <v>0</v>
      </c>
      <c r="D258" s="10">
        <v>0</v>
      </c>
      <c r="E258" s="10">
        <v>0</v>
      </c>
    </row>
    <row r="259" spans="1:5" ht="15.5">
      <c r="A259" s="9"/>
      <c r="B259" s="7" t="s">
        <v>236</v>
      </c>
      <c r="C259" s="13">
        <f>C257+C255+C253+C251+C247+C244+C239+C236+C231+C228</f>
        <v>21076074</v>
      </c>
      <c r="D259" s="13">
        <f>D257+D255+D253+D251+D247+D244+D239+D236+D231+D228</f>
        <v>22114677.699999999</v>
      </c>
      <c r="E259" s="13">
        <f>E257+E255+E253+E251+E247+E244+E239+E236+E231+E228</f>
        <v>22901211.585000001</v>
      </c>
    </row>
    <row r="260" spans="1:5" ht="16" thickBot="1">
      <c r="A260" s="9"/>
      <c r="B260" s="7" t="s">
        <v>273</v>
      </c>
      <c r="C260" s="14">
        <f t="shared" ref="C260:E261" si="28">C259</f>
        <v>21076074</v>
      </c>
      <c r="D260" s="14">
        <f t="shared" si="28"/>
        <v>22114677.699999999</v>
      </c>
      <c r="E260" s="14">
        <f t="shared" si="28"/>
        <v>22901211.585000001</v>
      </c>
    </row>
    <row r="261" spans="1:5" ht="32" thickTop="1" thickBot="1">
      <c r="A261" s="7" t="s">
        <v>296</v>
      </c>
      <c r="B261" s="7" t="s">
        <v>273</v>
      </c>
      <c r="C261" s="14">
        <f t="shared" si="28"/>
        <v>21076074</v>
      </c>
      <c r="D261" s="14">
        <f t="shared" si="28"/>
        <v>22114677.699999999</v>
      </c>
      <c r="E261" s="14">
        <f t="shared" si="28"/>
        <v>22901211.585000001</v>
      </c>
    </row>
    <row r="262" spans="1:5" ht="47" thickTop="1">
      <c r="A262" s="7" t="s">
        <v>297</v>
      </c>
      <c r="B262" s="7" t="s">
        <v>251</v>
      </c>
      <c r="C262" s="8">
        <f>C263</f>
        <v>300000</v>
      </c>
      <c r="D262" s="8">
        <f>D263</f>
        <v>315000</v>
      </c>
      <c r="E262" s="8">
        <f>E263</f>
        <v>330750</v>
      </c>
    </row>
    <row r="263" spans="1:5" ht="31">
      <c r="A263" s="9"/>
      <c r="B263" s="9" t="s">
        <v>278</v>
      </c>
      <c r="C263" s="10">
        <v>300000</v>
      </c>
      <c r="D263" s="11">
        <f>C263*1.05</f>
        <v>315000</v>
      </c>
      <c r="E263" s="11">
        <f>D263*1.05</f>
        <v>330750</v>
      </c>
    </row>
    <row r="264" spans="1:5" ht="31">
      <c r="A264" s="9"/>
      <c r="B264" s="7" t="s">
        <v>191</v>
      </c>
      <c r="C264" s="8">
        <f>C265+C266</f>
        <v>5971550</v>
      </c>
      <c r="D264" s="8">
        <f>D265+D266</f>
        <v>6270127.5</v>
      </c>
      <c r="E264" s="8">
        <f>E265+E266</f>
        <v>6583633.875</v>
      </c>
    </row>
    <row r="265" spans="1:5" ht="15.5">
      <c r="A265" s="9"/>
      <c r="B265" s="9" t="s">
        <v>194</v>
      </c>
      <c r="C265" s="10">
        <v>3279000</v>
      </c>
      <c r="D265" s="11">
        <f>1.05*C265</f>
        <v>3442950</v>
      </c>
      <c r="E265" s="11">
        <f>1.05*D265</f>
        <v>3615097.5</v>
      </c>
    </row>
    <row r="266" spans="1:5" ht="15.5">
      <c r="A266" s="9"/>
      <c r="B266" s="9" t="s">
        <v>254</v>
      </c>
      <c r="C266" s="10">
        <v>2692550</v>
      </c>
      <c r="D266" s="11">
        <f>1.05*C266</f>
        <v>2827177.5</v>
      </c>
      <c r="E266" s="11">
        <f>1.05*D266</f>
        <v>2968536.375</v>
      </c>
    </row>
    <row r="267" spans="1:5" ht="31">
      <c r="A267" s="9"/>
      <c r="B267" s="7" t="s">
        <v>195</v>
      </c>
      <c r="C267" s="8">
        <f>C268</f>
        <v>120000</v>
      </c>
      <c r="D267" s="8">
        <f>D268</f>
        <v>126000</v>
      </c>
      <c r="E267" s="8">
        <f>E268</f>
        <v>132300</v>
      </c>
    </row>
    <row r="268" spans="1:5" ht="15.5">
      <c r="A268" s="9"/>
      <c r="B268" s="9" t="s">
        <v>233</v>
      </c>
      <c r="C268" s="10">
        <v>120000</v>
      </c>
      <c r="D268" s="11">
        <f>1.05*C268</f>
        <v>126000</v>
      </c>
      <c r="E268" s="11">
        <f>1.05*D268</f>
        <v>132300</v>
      </c>
    </row>
    <row r="269" spans="1:5" ht="15.5">
      <c r="A269" s="9"/>
      <c r="B269" s="7" t="s">
        <v>258</v>
      </c>
      <c r="C269" s="8">
        <f>C270+C271+C272+C273</f>
        <v>625200</v>
      </c>
      <c r="D269" s="8">
        <f>D270+D271+D272+D273</f>
        <v>656460</v>
      </c>
      <c r="E269" s="8">
        <f>E270+E271+E272+E273</f>
        <v>689283</v>
      </c>
    </row>
    <row r="270" spans="1:5" ht="31">
      <c r="A270" s="9"/>
      <c r="B270" s="9" t="s">
        <v>294</v>
      </c>
      <c r="C270" s="10">
        <v>100000</v>
      </c>
      <c r="D270" s="11">
        <f>1.05*C270</f>
        <v>105000</v>
      </c>
      <c r="E270" s="11">
        <f>1.05*D270</f>
        <v>110250</v>
      </c>
    </row>
    <row r="271" spans="1:5" ht="31">
      <c r="A271" s="9"/>
      <c r="B271" s="9" t="s">
        <v>295</v>
      </c>
      <c r="C271" s="10"/>
      <c r="D271" s="11">
        <f t="shared" ref="D271:E272" si="29">1.05*C271</f>
        <v>0</v>
      </c>
      <c r="E271" s="11">
        <f t="shared" si="29"/>
        <v>0</v>
      </c>
    </row>
    <row r="272" spans="1:5" ht="15.5">
      <c r="A272" s="9"/>
      <c r="B272" s="9" t="s">
        <v>260</v>
      </c>
      <c r="C272" s="10">
        <v>525200</v>
      </c>
      <c r="D272" s="11">
        <f t="shared" si="29"/>
        <v>551460</v>
      </c>
      <c r="E272" s="11">
        <f t="shared" si="29"/>
        <v>579033</v>
      </c>
    </row>
    <row r="273" spans="1:5" ht="15.5">
      <c r="A273" s="9"/>
      <c r="B273" s="9" t="s">
        <v>261</v>
      </c>
      <c r="C273" s="10"/>
      <c r="D273" s="11"/>
      <c r="E273" s="15"/>
    </row>
    <row r="274" spans="1:5" ht="15.5">
      <c r="A274" s="9"/>
      <c r="B274" s="7" t="s">
        <v>200</v>
      </c>
      <c r="C274" s="8">
        <f>C275+C276</f>
        <v>1120000</v>
      </c>
      <c r="D274" s="8">
        <f>D275+D276</f>
        <v>1176000</v>
      </c>
      <c r="E274" s="8">
        <f>E275+E276</f>
        <v>1234800</v>
      </c>
    </row>
    <row r="275" spans="1:5" ht="31">
      <c r="A275" s="9"/>
      <c r="B275" s="9" t="s">
        <v>201</v>
      </c>
      <c r="C275" s="10">
        <v>40000</v>
      </c>
      <c r="D275" s="11">
        <f>1.05*C275</f>
        <v>42000</v>
      </c>
      <c r="E275" s="11">
        <f>1.05*D275</f>
        <v>44100</v>
      </c>
    </row>
    <row r="276" spans="1:5" ht="31">
      <c r="A276" s="9"/>
      <c r="B276" s="9" t="s">
        <v>202</v>
      </c>
      <c r="C276" s="10">
        <v>1080000</v>
      </c>
      <c r="D276" s="11">
        <f>1.05*C276</f>
        <v>1134000</v>
      </c>
      <c r="E276" s="11">
        <f>1.05*D276</f>
        <v>1190700</v>
      </c>
    </row>
    <row r="277" spans="1:5" ht="31">
      <c r="A277" s="9"/>
      <c r="B277" s="7" t="s">
        <v>205</v>
      </c>
      <c r="C277" s="8">
        <f>C278+C279</f>
        <v>38032</v>
      </c>
      <c r="D277" s="8">
        <f>D278+D279</f>
        <v>39933.599999999999</v>
      </c>
      <c r="E277" s="8">
        <f>E278</f>
        <v>33075</v>
      </c>
    </row>
    <row r="278" spans="1:5" ht="31">
      <c r="A278" s="9"/>
      <c r="B278" s="9" t="s">
        <v>206</v>
      </c>
      <c r="C278" s="10">
        <v>30000</v>
      </c>
      <c r="D278" s="11">
        <f>1.05*C278</f>
        <v>31500</v>
      </c>
      <c r="E278" s="11">
        <f>1.05*D278</f>
        <v>33075</v>
      </c>
    </row>
    <row r="279" spans="1:5" ht="31">
      <c r="A279" s="9"/>
      <c r="B279" s="9" t="s">
        <v>263</v>
      </c>
      <c r="C279" s="10">
        <v>8032</v>
      </c>
      <c r="D279" s="11">
        <f>1.05*C279</f>
        <v>8433.6</v>
      </c>
      <c r="E279" s="11">
        <f>1.05*D279</f>
        <v>8855.2800000000007</v>
      </c>
    </row>
    <row r="280" spans="1:5" ht="31">
      <c r="A280" s="9"/>
      <c r="B280" s="7" t="s">
        <v>267</v>
      </c>
      <c r="C280" s="8">
        <f>C281</f>
        <v>0</v>
      </c>
      <c r="D280" s="8">
        <f>D281</f>
        <v>0</v>
      </c>
      <c r="E280" s="8">
        <f>E281</f>
        <v>0</v>
      </c>
    </row>
    <row r="281" spans="1:5" ht="31">
      <c r="A281" s="9"/>
      <c r="B281" s="9" t="s">
        <v>269</v>
      </c>
      <c r="C281" s="10"/>
      <c r="D281" s="11"/>
      <c r="E281" s="15"/>
    </row>
    <row r="282" spans="1:5" ht="15.5">
      <c r="A282" s="9"/>
      <c r="B282" s="7" t="s">
        <v>236</v>
      </c>
      <c r="C282" s="13">
        <f>C280+C277+C274+C269+C267+C264+C262</f>
        <v>8174782</v>
      </c>
      <c r="D282" s="13">
        <f t="shared" ref="D282:E282" si="30">D280+D277+D274+D269+D267+D264+D262</f>
        <v>8583521.0999999996</v>
      </c>
      <c r="E282" s="13">
        <f t="shared" si="30"/>
        <v>9003841.875</v>
      </c>
    </row>
    <row r="283" spans="1:5" ht="16" thickBot="1">
      <c r="A283" s="9"/>
      <c r="B283" s="7" t="s">
        <v>273</v>
      </c>
      <c r="C283" s="14">
        <f t="shared" ref="C283:E284" si="31">C282</f>
        <v>8174782</v>
      </c>
      <c r="D283" s="14">
        <f t="shared" si="31"/>
        <v>8583521.0999999996</v>
      </c>
      <c r="E283" s="14">
        <f t="shared" si="31"/>
        <v>9003841.875</v>
      </c>
    </row>
    <row r="284" spans="1:5" ht="63" thickTop="1" thickBot="1">
      <c r="A284" s="7" t="s">
        <v>298</v>
      </c>
      <c r="B284" s="7" t="s">
        <v>273</v>
      </c>
      <c r="C284" s="14">
        <f t="shared" si="31"/>
        <v>8174782</v>
      </c>
      <c r="D284" s="14">
        <f t="shared" si="31"/>
        <v>8583521.0999999996</v>
      </c>
      <c r="E284" s="14">
        <f t="shared" si="31"/>
        <v>9003841.875</v>
      </c>
    </row>
    <row r="285" spans="1:5" ht="62.5" thickTop="1">
      <c r="A285" s="7" t="s">
        <v>299</v>
      </c>
      <c r="B285" s="7" t="s">
        <v>251</v>
      </c>
      <c r="C285" s="8">
        <f>C286</f>
        <v>480000</v>
      </c>
      <c r="D285" s="8">
        <f t="shared" ref="D285:E285" si="32">D286</f>
        <v>504000</v>
      </c>
      <c r="E285" s="8">
        <f t="shared" si="32"/>
        <v>529200</v>
      </c>
    </row>
    <row r="286" spans="1:5" ht="31">
      <c r="A286" s="9"/>
      <c r="B286" s="9" t="s">
        <v>278</v>
      </c>
      <c r="C286" s="10">
        <v>480000</v>
      </c>
      <c r="D286" s="11">
        <f>1.05*C286</f>
        <v>504000</v>
      </c>
      <c r="E286" s="11">
        <f>1.05*D286</f>
        <v>529200</v>
      </c>
    </row>
    <row r="287" spans="1:5" ht="31">
      <c r="A287" s="7"/>
      <c r="B287" s="7" t="s">
        <v>191</v>
      </c>
      <c r="C287" s="8">
        <f>C288+C289+C290+C291</f>
        <v>19931872</v>
      </c>
      <c r="D287" s="8">
        <f>D288+D289+D290+D291</f>
        <v>20928465.600000001</v>
      </c>
      <c r="E287" s="8">
        <f>E288+E289+E290+E291</f>
        <v>21974888.880000003</v>
      </c>
    </row>
    <row r="288" spans="1:5" ht="15.5">
      <c r="A288" s="9"/>
      <c r="B288" s="9" t="s">
        <v>193</v>
      </c>
      <c r="C288" s="10">
        <v>960000</v>
      </c>
      <c r="D288" s="11">
        <f>1.05*C288</f>
        <v>1008000</v>
      </c>
      <c r="E288" s="11">
        <f>1.05*D288</f>
        <v>1058400</v>
      </c>
    </row>
    <row r="289" spans="1:5" ht="15.5">
      <c r="A289" s="9"/>
      <c r="B289" s="9" t="s">
        <v>194</v>
      </c>
      <c r="C289" s="10">
        <v>10563460</v>
      </c>
      <c r="D289" s="11">
        <f t="shared" ref="D289:E291" si="33">1.05*C289</f>
        <v>11091633</v>
      </c>
      <c r="E289" s="11">
        <f t="shared" si="33"/>
        <v>11646214.65</v>
      </c>
    </row>
    <row r="290" spans="1:5" ht="15.5">
      <c r="A290" s="9"/>
      <c r="B290" s="9" t="s">
        <v>254</v>
      </c>
      <c r="C290" s="10">
        <v>6583612</v>
      </c>
      <c r="D290" s="11">
        <f t="shared" si="33"/>
        <v>6912792.6000000006</v>
      </c>
      <c r="E290" s="11">
        <f t="shared" si="33"/>
        <v>7258432.2300000004</v>
      </c>
    </row>
    <row r="291" spans="1:5" ht="15.5">
      <c r="A291" s="9"/>
      <c r="B291" s="9" t="s">
        <v>232</v>
      </c>
      <c r="C291" s="10">
        <v>1824800</v>
      </c>
      <c r="D291" s="11">
        <f t="shared" si="33"/>
        <v>1916040</v>
      </c>
      <c r="E291" s="11">
        <f t="shared" si="33"/>
        <v>2011842</v>
      </c>
    </row>
    <row r="292" spans="1:5" ht="31">
      <c r="A292" s="9"/>
      <c r="B292" s="7" t="s">
        <v>195</v>
      </c>
      <c r="C292" s="8">
        <f>C293+C294</f>
        <v>1156950</v>
      </c>
      <c r="D292" s="8">
        <f>D293+D294</f>
        <v>1214797.5</v>
      </c>
      <c r="E292" s="8">
        <f>E293+E294</f>
        <v>1275537.375</v>
      </c>
    </row>
    <row r="293" spans="1:5" ht="15.5">
      <c r="A293" s="9"/>
      <c r="B293" s="9" t="s">
        <v>233</v>
      </c>
      <c r="C293" s="10">
        <v>307000</v>
      </c>
      <c r="D293" s="11">
        <f>1.05*C293</f>
        <v>322350</v>
      </c>
      <c r="E293" s="11">
        <f>1.05*D293</f>
        <v>338467.5</v>
      </c>
    </row>
    <row r="294" spans="1:5" ht="31">
      <c r="A294" s="9"/>
      <c r="B294" s="9" t="s">
        <v>196</v>
      </c>
      <c r="C294" s="10">
        <v>849950</v>
      </c>
      <c r="D294" s="11">
        <f>1.05*C294</f>
        <v>892447.5</v>
      </c>
      <c r="E294" s="11">
        <f>1.05*D294</f>
        <v>937069.875</v>
      </c>
    </row>
    <row r="295" spans="1:5" ht="15.5">
      <c r="A295" s="9"/>
      <c r="B295" s="7" t="s">
        <v>258</v>
      </c>
      <c r="C295" s="8">
        <f>C296+C297</f>
        <v>1296000</v>
      </c>
      <c r="D295" s="8">
        <f>D296+D297</f>
        <v>1360800</v>
      </c>
      <c r="E295" s="8">
        <f>E296+E297</f>
        <v>1428840</v>
      </c>
    </row>
    <row r="296" spans="1:5" ht="15.5">
      <c r="A296" s="9"/>
      <c r="B296" s="9" t="s">
        <v>260</v>
      </c>
      <c r="C296" s="10">
        <v>1020000</v>
      </c>
      <c r="D296" s="11">
        <f>1.05*C296</f>
        <v>1071000</v>
      </c>
      <c r="E296" s="11">
        <f>1.05*D296</f>
        <v>1124550</v>
      </c>
    </row>
    <row r="297" spans="1:5" ht="15.5">
      <c r="A297" s="9"/>
      <c r="B297" s="9" t="s">
        <v>261</v>
      </c>
      <c r="C297" s="10">
        <v>276000</v>
      </c>
      <c r="D297" s="11">
        <f>1.05*C297</f>
        <v>289800</v>
      </c>
      <c r="E297" s="11">
        <f>1.05*D297</f>
        <v>304290</v>
      </c>
    </row>
    <row r="298" spans="1:5" ht="15.5">
      <c r="A298" s="9"/>
      <c r="B298" s="7" t="s">
        <v>200</v>
      </c>
      <c r="C298" s="8">
        <f>C299+C300</f>
        <v>1600000</v>
      </c>
      <c r="D298" s="8">
        <f>D299+D300</f>
        <v>1680000</v>
      </c>
      <c r="E298" s="8">
        <f>E299+E300</f>
        <v>1764000</v>
      </c>
    </row>
    <row r="299" spans="1:5" ht="31">
      <c r="A299" s="9"/>
      <c r="B299" s="9" t="s">
        <v>201</v>
      </c>
      <c r="C299" s="10">
        <v>1600000</v>
      </c>
      <c r="D299" s="11">
        <f>1.05*C299</f>
        <v>1680000</v>
      </c>
      <c r="E299" s="11">
        <f>1.05*D299</f>
        <v>1764000</v>
      </c>
    </row>
    <row r="300" spans="1:5" ht="31">
      <c r="A300" s="9"/>
      <c r="B300" s="9" t="s">
        <v>202</v>
      </c>
      <c r="C300" s="10">
        <v>0</v>
      </c>
      <c r="D300" s="10">
        <v>0</v>
      </c>
      <c r="E300" s="10">
        <v>0</v>
      </c>
    </row>
    <row r="301" spans="1:5" ht="15.5">
      <c r="A301" s="9"/>
      <c r="B301" s="7" t="s">
        <v>208</v>
      </c>
      <c r="C301" s="8">
        <f>C302</f>
        <v>400000</v>
      </c>
      <c r="D301" s="8">
        <f>D302</f>
        <v>420000</v>
      </c>
      <c r="E301" s="8">
        <f>E302</f>
        <v>441000</v>
      </c>
    </row>
    <row r="302" spans="1:5" ht="31">
      <c r="A302" s="9"/>
      <c r="B302" s="9" t="s">
        <v>209</v>
      </c>
      <c r="C302" s="10">
        <v>400000</v>
      </c>
      <c r="D302" s="11">
        <f>1.05*C302</f>
        <v>420000</v>
      </c>
      <c r="E302" s="11">
        <f>1.05*D302</f>
        <v>441000</v>
      </c>
    </row>
    <row r="303" spans="1:5" ht="31">
      <c r="A303" s="9"/>
      <c r="B303" s="7" t="s">
        <v>205</v>
      </c>
      <c r="C303" s="8">
        <f>C304</f>
        <v>400000</v>
      </c>
      <c r="D303" s="8">
        <f t="shared" ref="D303:E303" si="34">D304</f>
        <v>420000</v>
      </c>
      <c r="E303" s="8">
        <f t="shared" si="34"/>
        <v>441000</v>
      </c>
    </row>
    <row r="304" spans="1:5" ht="31">
      <c r="A304" s="9"/>
      <c r="B304" s="9" t="s">
        <v>206</v>
      </c>
      <c r="C304" s="10">
        <v>400000</v>
      </c>
      <c r="D304" s="11">
        <f>1.05*C304</f>
        <v>420000</v>
      </c>
      <c r="E304" s="11">
        <f>1.05*D304</f>
        <v>441000</v>
      </c>
    </row>
    <row r="305" spans="1:5" ht="31">
      <c r="A305" s="9"/>
      <c r="B305" s="7" t="s">
        <v>300</v>
      </c>
      <c r="C305" s="8">
        <f>C306</f>
        <v>0</v>
      </c>
      <c r="D305" s="8">
        <f>D306</f>
        <v>0</v>
      </c>
      <c r="E305" s="8">
        <f>E306</f>
        <v>0</v>
      </c>
    </row>
    <row r="306" spans="1:5" ht="15.5">
      <c r="A306" s="9"/>
      <c r="B306" s="9" t="s">
        <v>301</v>
      </c>
      <c r="C306" s="10">
        <v>0</v>
      </c>
      <c r="D306" s="10">
        <v>0</v>
      </c>
      <c r="E306" s="10">
        <v>0</v>
      </c>
    </row>
    <row r="307" spans="1:5" ht="31">
      <c r="A307" s="9"/>
      <c r="B307" s="7" t="s">
        <v>270</v>
      </c>
      <c r="C307" s="8">
        <f>C308</f>
        <v>240000</v>
      </c>
      <c r="D307" s="8">
        <f>D308</f>
        <v>252000</v>
      </c>
      <c r="E307" s="8">
        <f>E308</f>
        <v>264600</v>
      </c>
    </row>
    <row r="308" spans="1:5" ht="31">
      <c r="A308" s="9"/>
      <c r="B308" s="9" t="s">
        <v>272</v>
      </c>
      <c r="C308" s="10">
        <v>240000</v>
      </c>
      <c r="D308" s="11">
        <f>1.05*C308</f>
        <v>252000</v>
      </c>
      <c r="E308" s="11">
        <f>1.05*D308</f>
        <v>264600</v>
      </c>
    </row>
    <row r="309" spans="1:5" ht="15.5">
      <c r="A309" s="9"/>
      <c r="B309" s="7" t="s">
        <v>236</v>
      </c>
      <c r="C309" s="13">
        <f>C307+C305+C303+C301+C298+C295+C292+C287+C285</f>
        <v>25504822</v>
      </c>
      <c r="D309" s="13">
        <f t="shared" ref="D309:E309" si="35">D307+D305+D303+D301+D298+D295+D292+D287+D285</f>
        <v>26780063.100000001</v>
      </c>
      <c r="E309" s="13">
        <f t="shared" si="35"/>
        <v>28119066.255000003</v>
      </c>
    </row>
    <row r="310" spans="1:5" ht="16" thickBot="1">
      <c r="A310" s="9"/>
      <c r="B310" s="7" t="s">
        <v>273</v>
      </c>
      <c r="C310" s="14">
        <f t="shared" ref="C310:E311" si="36">C309</f>
        <v>25504822</v>
      </c>
      <c r="D310" s="14">
        <f t="shared" si="36"/>
        <v>26780063.100000001</v>
      </c>
      <c r="E310" s="14">
        <f t="shared" si="36"/>
        <v>28119066.255000003</v>
      </c>
    </row>
    <row r="311" spans="1:5" ht="63" thickTop="1" thickBot="1">
      <c r="A311" s="7" t="s">
        <v>302</v>
      </c>
      <c r="B311" s="7" t="s">
        <v>273</v>
      </c>
      <c r="C311" s="14">
        <f t="shared" si="36"/>
        <v>25504822</v>
      </c>
      <c r="D311" s="14">
        <f t="shared" si="36"/>
        <v>26780063.100000001</v>
      </c>
      <c r="E311" s="14">
        <f t="shared" si="36"/>
        <v>28119066.255000003</v>
      </c>
    </row>
    <row r="312" spans="1:5" ht="31.5" thickTop="1">
      <c r="A312" s="7" t="s">
        <v>303</v>
      </c>
      <c r="B312" s="7" t="s">
        <v>251</v>
      </c>
      <c r="C312" s="8">
        <f>C313</f>
        <v>396000</v>
      </c>
      <c r="D312" s="8">
        <f t="shared" ref="D312:E312" si="37">D313</f>
        <v>415800</v>
      </c>
      <c r="E312" s="8">
        <f t="shared" si="37"/>
        <v>436590</v>
      </c>
    </row>
    <row r="313" spans="1:5" ht="31">
      <c r="A313" s="9"/>
      <c r="B313" s="9" t="s">
        <v>278</v>
      </c>
      <c r="C313" s="10">
        <v>396000</v>
      </c>
      <c r="D313" s="11">
        <f>1.05*C313</f>
        <v>415800</v>
      </c>
      <c r="E313" s="11">
        <f>1.05*D313</f>
        <v>436590</v>
      </c>
    </row>
    <row r="314" spans="1:5" ht="31">
      <c r="A314" s="9"/>
      <c r="B314" s="7" t="s">
        <v>191</v>
      </c>
      <c r="C314" s="8">
        <f>C315+C316</f>
        <v>5283630</v>
      </c>
      <c r="D314" s="8">
        <f t="shared" ref="D314:E314" si="38">D315+D316</f>
        <v>5547811.5</v>
      </c>
      <c r="E314" s="8">
        <f t="shared" si="38"/>
        <v>5825202.0750000002</v>
      </c>
    </row>
    <row r="315" spans="1:5" ht="15.5">
      <c r="A315" s="9"/>
      <c r="B315" s="9" t="s">
        <v>194</v>
      </c>
      <c r="C315" s="10">
        <v>3822435</v>
      </c>
      <c r="D315" s="11">
        <f>1.05*C315</f>
        <v>4013556.75</v>
      </c>
      <c r="E315" s="11">
        <f>1.05*D315</f>
        <v>4214234.5875000004</v>
      </c>
    </row>
    <row r="316" spans="1:5" ht="15.5">
      <c r="A316" s="9"/>
      <c r="B316" s="9" t="s">
        <v>254</v>
      </c>
      <c r="C316" s="10">
        <v>1461195</v>
      </c>
      <c r="D316" s="11">
        <f>1.05*C316</f>
        <v>1534254.75</v>
      </c>
      <c r="E316" s="11">
        <f>1.05*D316</f>
        <v>1610967.4875</v>
      </c>
    </row>
    <row r="317" spans="1:5" ht="31">
      <c r="A317" s="9"/>
      <c r="B317" s="7" t="s">
        <v>195</v>
      </c>
      <c r="C317" s="8">
        <f>C318</f>
        <v>435000</v>
      </c>
      <c r="D317" s="8">
        <f t="shared" ref="D317:E317" si="39">D318</f>
        <v>456750</v>
      </c>
      <c r="E317" s="8">
        <f t="shared" si="39"/>
        <v>479587.5</v>
      </c>
    </row>
    <row r="318" spans="1:5" ht="15.5">
      <c r="A318" s="9"/>
      <c r="B318" s="9" t="s">
        <v>233</v>
      </c>
      <c r="C318" s="10">
        <v>435000</v>
      </c>
      <c r="D318" s="11">
        <f>1.05*C318</f>
        <v>456750</v>
      </c>
      <c r="E318" s="11">
        <f>1.05*D318</f>
        <v>479587.5</v>
      </c>
    </row>
    <row r="319" spans="1:5" ht="15.5">
      <c r="A319" s="9"/>
      <c r="B319" s="7" t="s">
        <v>258</v>
      </c>
      <c r="C319" s="8">
        <f>C320+C321</f>
        <v>1810000</v>
      </c>
      <c r="D319" s="8">
        <f t="shared" ref="D319:E319" si="40">D320+D321</f>
        <v>1900500</v>
      </c>
      <c r="E319" s="8">
        <f t="shared" si="40"/>
        <v>1995525</v>
      </c>
    </row>
    <row r="320" spans="1:5" ht="15.5">
      <c r="A320" s="9"/>
      <c r="B320" s="9" t="s">
        <v>260</v>
      </c>
      <c r="C320" s="10">
        <v>910000</v>
      </c>
      <c r="D320" s="11">
        <f>1.05*C320</f>
        <v>955500</v>
      </c>
      <c r="E320" s="11">
        <f>1.05*D320</f>
        <v>1003275</v>
      </c>
    </row>
    <row r="321" spans="1:5" ht="15.5">
      <c r="A321" s="9"/>
      <c r="B321" s="9" t="s">
        <v>261</v>
      </c>
      <c r="C321" s="10">
        <v>900000</v>
      </c>
      <c r="D321" s="11">
        <f>1.05*C321</f>
        <v>945000</v>
      </c>
      <c r="E321" s="11">
        <f>1.05*D321</f>
        <v>992250</v>
      </c>
    </row>
    <row r="322" spans="1:5" ht="15.5">
      <c r="A322" s="9"/>
      <c r="B322" s="7" t="s">
        <v>200</v>
      </c>
      <c r="C322" s="8">
        <f>C324+C323</f>
        <v>1302500</v>
      </c>
      <c r="D322" s="8">
        <f>D324+D323</f>
        <v>1367625</v>
      </c>
      <c r="E322" s="8">
        <f>E324+E323</f>
        <v>1436006.25</v>
      </c>
    </row>
    <row r="323" spans="1:5" ht="31">
      <c r="A323" s="9"/>
      <c r="B323" s="9" t="s">
        <v>201</v>
      </c>
      <c r="C323" s="10">
        <v>1302500</v>
      </c>
      <c r="D323" s="11">
        <f>1.05*C323</f>
        <v>1367625</v>
      </c>
      <c r="E323" s="11">
        <f>1.05*D323</f>
        <v>1436006.25</v>
      </c>
    </row>
    <row r="324" spans="1:5" ht="31">
      <c r="A324" s="9"/>
      <c r="B324" s="9" t="s">
        <v>202</v>
      </c>
      <c r="C324" s="10">
        <v>0</v>
      </c>
      <c r="D324" s="11">
        <f>1.05*C324</f>
        <v>0</v>
      </c>
      <c r="E324" s="11">
        <f>1.05*D324</f>
        <v>0</v>
      </c>
    </row>
    <row r="325" spans="1:5" ht="31">
      <c r="A325" s="9"/>
      <c r="B325" s="7" t="s">
        <v>205</v>
      </c>
      <c r="C325" s="8">
        <f>C326+C327</f>
        <v>69100</v>
      </c>
      <c r="D325" s="8">
        <f t="shared" ref="D325:E325" si="41">D326+D327</f>
        <v>72555</v>
      </c>
      <c r="E325" s="8">
        <f t="shared" si="41"/>
        <v>76182.75</v>
      </c>
    </row>
    <row r="326" spans="1:5" ht="31">
      <c r="A326" s="9"/>
      <c r="B326" s="9" t="s">
        <v>206</v>
      </c>
      <c r="C326" s="10">
        <v>69100</v>
      </c>
      <c r="D326" s="11">
        <f>1.05*C326</f>
        <v>72555</v>
      </c>
      <c r="E326" s="11">
        <f>1.05*D326</f>
        <v>76182.75</v>
      </c>
    </row>
    <row r="327" spans="1:5" ht="31">
      <c r="A327" s="9"/>
      <c r="B327" s="9" t="s">
        <v>207</v>
      </c>
      <c r="C327" s="10">
        <v>0</v>
      </c>
      <c r="D327" s="11">
        <f>1.05*C327</f>
        <v>0</v>
      </c>
      <c r="E327" s="11">
        <f>1.05*D327</f>
        <v>0</v>
      </c>
    </row>
    <row r="328" spans="1:5" ht="15.5">
      <c r="A328" s="9"/>
      <c r="B328" s="7" t="s">
        <v>208</v>
      </c>
      <c r="C328" s="8">
        <f>C329</f>
        <v>165000</v>
      </c>
      <c r="D328" s="8">
        <f t="shared" ref="D328:E328" si="42">D329</f>
        <v>173250</v>
      </c>
      <c r="E328" s="8">
        <f t="shared" si="42"/>
        <v>181912.5</v>
      </c>
    </row>
    <row r="329" spans="1:5" ht="31">
      <c r="A329" s="9"/>
      <c r="B329" s="9" t="s">
        <v>209</v>
      </c>
      <c r="C329" s="10">
        <v>165000</v>
      </c>
      <c r="D329" s="11">
        <f>1.05*C329</f>
        <v>173250</v>
      </c>
      <c r="E329" s="11">
        <f>1.05*D329</f>
        <v>181912.5</v>
      </c>
    </row>
    <row r="330" spans="1:5" ht="15.5">
      <c r="A330" s="9"/>
      <c r="B330" s="7" t="s">
        <v>210</v>
      </c>
      <c r="C330" s="8">
        <f>C331</f>
        <v>513770</v>
      </c>
      <c r="D330" s="8">
        <f>D331</f>
        <v>539458.5</v>
      </c>
      <c r="E330" s="8">
        <f>E331</f>
        <v>566431.42500000005</v>
      </c>
    </row>
    <row r="331" spans="1:5" ht="15.5">
      <c r="A331" s="9"/>
      <c r="B331" s="9" t="s">
        <v>265</v>
      </c>
      <c r="C331" s="10">
        <f>505000+8770</f>
        <v>513770</v>
      </c>
      <c r="D331" s="11">
        <f>1.05*C331</f>
        <v>539458.5</v>
      </c>
      <c r="E331" s="11">
        <f>1.05*D331</f>
        <v>566431.42500000005</v>
      </c>
    </row>
    <row r="332" spans="1:5" ht="31">
      <c r="A332" s="9"/>
      <c r="B332" s="7" t="s">
        <v>270</v>
      </c>
      <c r="C332" s="8">
        <f>C333+C334</f>
        <v>0</v>
      </c>
      <c r="D332" s="8">
        <f>D333+D334</f>
        <v>0</v>
      </c>
      <c r="E332" s="8">
        <f>E333+E334</f>
        <v>0</v>
      </c>
    </row>
    <row r="333" spans="1:5" ht="31">
      <c r="A333" s="9"/>
      <c r="B333" s="9" t="s">
        <v>281</v>
      </c>
      <c r="C333" s="10"/>
      <c r="D333" s="11">
        <f>1.05*C333</f>
        <v>0</v>
      </c>
      <c r="E333" s="11">
        <f>1.05*D333</f>
        <v>0</v>
      </c>
    </row>
    <row r="334" spans="1:5" ht="31">
      <c r="A334" s="9"/>
      <c r="B334" s="9" t="s">
        <v>272</v>
      </c>
      <c r="C334" s="10"/>
      <c r="D334" s="11">
        <f>1.05*C334</f>
        <v>0</v>
      </c>
      <c r="E334" s="11">
        <f>1.05*D334</f>
        <v>0</v>
      </c>
    </row>
    <row r="335" spans="1:5" ht="15.5">
      <c r="A335" s="9"/>
      <c r="B335" s="7" t="s">
        <v>236</v>
      </c>
      <c r="C335" s="13">
        <f>C332+C330+C328+C325+C322+C319+C317+C314+C312</f>
        <v>9975000</v>
      </c>
      <c r="D335" s="13">
        <f>D332+D330+D328+D325+D322+D319+D317+D314+D312</f>
        <v>10473750</v>
      </c>
      <c r="E335" s="13">
        <f>E332+E330+E328+E325+E322+E319+E317+E314+E312</f>
        <v>10997437.5</v>
      </c>
    </row>
    <row r="336" spans="1:5" ht="16" thickBot="1">
      <c r="A336" s="9"/>
      <c r="B336" s="7" t="s">
        <v>273</v>
      </c>
      <c r="C336" s="14">
        <f t="shared" ref="C336:E337" si="43">C335</f>
        <v>9975000</v>
      </c>
      <c r="D336" s="14">
        <f t="shared" si="43"/>
        <v>10473750</v>
      </c>
      <c r="E336" s="14">
        <f t="shared" si="43"/>
        <v>10997437.5</v>
      </c>
    </row>
    <row r="337" spans="1:6" ht="32" thickTop="1" thickBot="1">
      <c r="A337" s="7" t="s">
        <v>304</v>
      </c>
      <c r="B337" s="7" t="s">
        <v>273</v>
      </c>
      <c r="C337" s="14">
        <f t="shared" si="43"/>
        <v>9975000</v>
      </c>
      <c r="D337" s="14">
        <f t="shared" si="43"/>
        <v>10473750</v>
      </c>
      <c r="E337" s="14">
        <f t="shared" si="43"/>
        <v>10997437.5</v>
      </c>
    </row>
    <row r="338" spans="1:6" ht="47" thickTop="1">
      <c r="A338" s="7" t="s">
        <v>305</v>
      </c>
      <c r="B338" s="7" t="s">
        <v>191</v>
      </c>
      <c r="C338" s="8">
        <f>C339+C340+C341</f>
        <v>5650000</v>
      </c>
      <c r="D338" s="8">
        <f>D339+D340+D341</f>
        <v>5932500</v>
      </c>
      <c r="E338" s="8">
        <f>E339+E340+E341</f>
        <v>0</v>
      </c>
    </row>
    <row r="339" spans="1:6" ht="31">
      <c r="A339" s="9"/>
      <c r="B339" s="9" t="s">
        <v>192</v>
      </c>
      <c r="C339" s="10">
        <v>1550000</v>
      </c>
      <c r="D339" s="11">
        <f>1.05*C339</f>
        <v>1627500</v>
      </c>
      <c r="E339" s="15"/>
    </row>
    <row r="340" spans="1:6" ht="15.5">
      <c r="A340" s="9"/>
      <c r="B340" s="9" t="s">
        <v>194</v>
      </c>
      <c r="C340" s="10">
        <v>2000000</v>
      </c>
      <c r="D340" s="11">
        <f t="shared" ref="D340:D341" si="44">1.05*C340</f>
        <v>2100000</v>
      </c>
      <c r="E340" s="15"/>
    </row>
    <row r="341" spans="1:6" ht="15.5">
      <c r="A341" s="9"/>
      <c r="B341" s="9" t="s">
        <v>254</v>
      </c>
      <c r="C341" s="10">
        <f>100000+2000000</f>
        <v>2100000</v>
      </c>
      <c r="D341" s="11">
        <f t="shared" si="44"/>
        <v>2205000</v>
      </c>
      <c r="E341" s="15"/>
    </row>
    <row r="342" spans="1:6" ht="31">
      <c r="A342" s="9"/>
      <c r="B342" s="7" t="s">
        <v>195</v>
      </c>
      <c r="C342" s="8">
        <f>C343+C344</f>
        <v>3000000</v>
      </c>
      <c r="D342" s="8">
        <f>D343+D344</f>
        <v>3150000</v>
      </c>
      <c r="E342" s="8">
        <f>E343+E344</f>
        <v>3307500</v>
      </c>
    </row>
    <row r="343" spans="1:6" ht="15.5">
      <c r="A343" s="9"/>
      <c r="B343" s="9" t="s">
        <v>233</v>
      </c>
      <c r="C343" s="10">
        <f>-2000000+3000000</f>
        <v>1000000</v>
      </c>
      <c r="D343" s="11">
        <f>1.05*C343</f>
        <v>1050000</v>
      </c>
      <c r="E343" s="11">
        <f>1.05*D343</f>
        <v>1102500</v>
      </c>
    </row>
    <row r="344" spans="1:6" ht="31">
      <c r="A344" s="9"/>
      <c r="B344" s="9" t="s">
        <v>196</v>
      </c>
      <c r="C344" s="10">
        <v>2000000</v>
      </c>
      <c r="D344" s="11">
        <f>1.05*C344</f>
        <v>2100000</v>
      </c>
      <c r="E344" s="11">
        <f>1.05*D344</f>
        <v>2205000</v>
      </c>
    </row>
    <row r="345" spans="1:6" ht="31">
      <c r="A345" s="9"/>
      <c r="B345" s="7" t="s">
        <v>205</v>
      </c>
      <c r="C345" s="8">
        <f>C346+C347</f>
        <v>4862662</v>
      </c>
      <c r="D345" s="8">
        <f>D346+D347</f>
        <v>5105795.0999999996</v>
      </c>
      <c r="E345" s="8">
        <f>E346+E347</f>
        <v>5361084.8550000004</v>
      </c>
    </row>
    <row r="346" spans="1:6" ht="31">
      <c r="A346" s="9"/>
      <c r="B346" s="9" t="s">
        <v>206</v>
      </c>
      <c r="C346" s="10">
        <v>2862662</v>
      </c>
      <c r="D346" s="11">
        <f>1.05*C346</f>
        <v>3005795.1</v>
      </c>
      <c r="E346" s="11">
        <f>1.05*D346</f>
        <v>3156084.8550000004</v>
      </c>
    </row>
    <row r="347" spans="1:6" ht="31">
      <c r="A347" s="9"/>
      <c r="B347" s="9" t="s">
        <v>263</v>
      </c>
      <c r="C347" s="10">
        <v>2000000</v>
      </c>
      <c r="D347" s="11">
        <f>1.05*C347</f>
        <v>2100000</v>
      </c>
      <c r="E347" s="11">
        <f>1.05*D347</f>
        <v>2205000</v>
      </c>
    </row>
    <row r="348" spans="1:6" ht="15.5">
      <c r="A348" s="9"/>
      <c r="B348" s="7" t="s">
        <v>236</v>
      </c>
      <c r="C348" s="13">
        <f>C345+C342+C338</f>
        <v>13512662</v>
      </c>
      <c r="D348" s="13">
        <f>D345+D342+D338</f>
        <v>14188295.1</v>
      </c>
      <c r="E348" s="13">
        <f>E345+E342+E338</f>
        <v>8668584.8550000004</v>
      </c>
      <c r="F348" s="70">
        <f>F100+C348</f>
        <v>113363287</v>
      </c>
    </row>
    <row r="349" spans="1:6" ht="16" thickBot="1">
      <c r="A349" s="9"/>
      <c r="B349" s="7" t="s">
        <v>273</v>
      </c>
      <c r="C349" s="14">
        <f t="shared" ref="C349:E350" si="45">C348</f>
        <v>13512662</v>
      </c>
      <c r="D349" s="14">
        <f t="shared" si="45"/>
        <v>14188295.1</v>
      </c>
      <c r="E349" s="14">
        <f t="shared" si="45"/>
        <v>8668584.8550000004</v>
      </c>
    </row>
    <row r="350" spans="1:6" ht="47.5" thickTop="1" thickBot="1">
      <c r="A350" s="7" t="s">
        <v>306</v>
      </c>
      <c r="B350" s="7" t="s">
        <v>273</v>
      </c>
      <c r="C350" s="14">
        <f t="shared" si="45"/>
        <v>13512662</v>
      </c>
      <c r="D350" s="14">
        <f t="shared" si="45"/>
        <v>14188295.1</v>
      </c>
      <c r="E350" s="14">
        <f t="shared" si="45"/>
        <v>8668584.8550000004</v>
      </c>
    </row>
    <row r="351" spans="1:6" ht="32" thickTop="1" thickBot="1">
      <c r="A351" s="18"/>
      <c r="B351" s="19" t="s">
        <v>307</v>
      </c>
      <c r="C351" s="20">
        <f>C350+C337+C311+C284+C261+C227+C203+C178+C152+C132+C54+C102</f>
        <v>274174197</v>
      </c>
      <c r="D351" s="20">
        <f>D350+D337+D311+D284+D261+D227+D203+D178+D152+D132+D54</f>
        <v>251449344.09999999</v>
      </c>
      <c r="E351" s="20">
        <f>E350+E337+E311+E284+E261+E227+E203+E178+E152+E132+E54</f>
        <v>255115303.85250002</v>
      </c>
    </row>
    <row r="352" spans="1:6" ht="16" thickTop="1">
      <c r="A352" s="21"/>
      <c r="B352" s="21"/>
      <c r="C352" s="22">
        <v>384471566</v>
      </c>
      <c r="D352" s="22">
        <v>443347931</v>
      </c>
      <c r="E352" s="22"/>
    </row>
    <row r="353" spans="1:7" ht="15.5">
      <c r="A353" s="738">
        <v>443347931</v>
      </c>
      <c r="B353" s="739"/>
      <c r="C353" s="739"/>
      <c r="D353" s="739"/>
      <c r="E353" s="23"/>
    </row>
    <row r="354" spans="1:7" ht="15.5">
      <c r="A354" s="1"/>
      <c r="B354" s="1"/>
      <c r="C354" s="1"/>
      <c r="D354" s="23">
        <f>A353-D351</f>
        <v>191898586.90000001</v>
      </c>
      <c r="E354" s="23"/>
    </row>
    <row r="355" spans="1:7" ht="15.5">
      <c r="A355" s="734" t="s">
        <v>308</v>
      </c>
      <c r="B355" s="734"/>
      <c r="C355" s="734"/>
      <c r="D355" s="1"/>
      <c r="E355" s="1"/>
    </row>
    <row r="356" spans="1:7" ht="15.5">
      <c r="A356" s="734" t="s">
        <v>309</v>
      </c>
      <c r="B356" s="734"/>
      <c r="C356" s="734"/>
      <c r="D356" s="1"/>
      <c r="E356" s="1"/>
    </row>
    <row r="357" spans="1:7" ht="15.5">
      <c r="A357" s="734" t="s">
        <v>243</v>
      </c>
      <c r="B357" s="734"/>
      <c r="C357" s="734"/>
      <c r="D357" s="1"/>
      <c r="E357" s="1"/>
    </row>
    <row r="358" spans="1:7" ht="15.5">
      <c r="A358" s="3"/>
      <c r="B358" s="3"/>
      <c r="C358" s="735" t="s">
        <v>244</v>
      </c>
      <c r="D358" s="736"/>
      <c r="E358" s="737"/>
    </row>
    <row r="359" spans="1:7" ht="46.5">
      <c r="A359" s="4" t="s">
        <v>245</v>
      </c>
      <c r="B359" s="4" t="s">
        <v>184</v>
      </c>
      <c r="C359" s="5" t="s">
        <v>246</v>
      </c>
      <c r="D359" s="6" t="s">
        <v>247</v>
      </c>
      <c r="E359" s="6" t="s">
        <v>310</v>
      </c>
    </row>
    <row r="360" spans="1:7" ht="15.5">
      <c r="A360" s="7"/>
      <c r="B360" s="7"/>
      <c r="C360" s="6" t="s">
        <v>248</v>
      </c>
      <c r="D360" s="6" t="s">
        <v>248</v>
      </c>
      <c r="E360" s="6" t="s">
        <v>248</v>
      </c>
    </row>
    <row r="361" spans="1:7" ht="31">
      <c r="A361" s="7" t="s">
        <v>249</v>
      </c>
      <c r="B361" s="7" t="s">
        <v>311</v>
      </c>
      <c r="C361" s="24">
        <f>C362</f>
        <v>0</v>
      </c>
      <c r="D361" s="24">
        <f>D362</f>
        <v>0</v>
      </c>
      <c r="E361" s="24">
        <f>E362</f>
        <v>0</v>
      </c>
    </row>
    <row r="362" spans="1:7" ht="15.5">
      <c r="A362" s="21"/>
      <c r="B362" s="9" t="s">
        <v>215</v>
      </c>
      <c r="C362" s="24"/>
      <c r="D362" s="25">
        <v>0</v>
      </c>
      <c r="E362" s="24">
        <v>0</v>
      </c>
    </row>
    <row r="363" spans="1:7" ht="15.5">
      <c r="A363" s="7"/>
      <c r="B363" s="7" t="s">
        <v>312</v>
      </c>
      <c r="C363" s="26">
        <f>C364</f>
        <v>131000000</v>
      </c>
      <c r="D363" s="26">
        <f>D364</f>
        <v>137550000</v>
      </c>
      <c r="E363" s="26">
        <f>E364</f>
        <v>144427500</v>
      </c>
    </row>
    <row r="364" spans="1:7" ht="15.5">
      <c r="A364" s="9"/>
      <c r="B364" s="9" t="s">
        <v>313</v>
      </c>
      <c r="C364" s="25">
        <f>100000000+10000000+14500000+6500000</f>
        <v>131000000</v>
      </c>
      <c r="D364" s="25">
        <f>1.05*C364</f>
        <v>137550000</v>
      </c>
      <c r="E364" s="25">
        <f>1.05*D364</f>
        <v>144427500</v>
      </c>
      <c r="F364" s="460">
        <v>10000000</v>
      </c>
      <c r="G364" t="s">
        <v>1099</v>
      </c>
    </row>
    <row r="365" spans="1:7" ht="15.5">
      <c r="A365" s="9"/>
      <c r="B365" s="7" t="s">
        <v>223</v>
      </c>
      <c r="C365" s="8">
        <f>C366+C367</f>
        <v>75000000</v>
      </c>
      <c r="D365" s="8">
        <f>D366+D367</f>
        <v>78750000</v>
      </c>
      <c r="E365" s="8">
        <f>E366+E367</f>
        <v>82687500</v>
      </c>
    </row>
    <row r="366" spans="1:7" ht="15.5">
      <c r="A366" s="9"/>
      <c r="B366" s="9" t="s">
        <v>224</v>
      </c>
      <c r="C366" s="12">
        <f>50000000+25000000</f>
        <v>75000000</v>
      </c>
      <c r="D366" s="12">
        <f>C366*1.05</f>
        <v>78750000</v>
      </c>
      <c r="E366" s="12">
        <f>D366*1.05</f>
        <v>82687500</v>
      </c>
      <c r="F366">
        <v>2942233</v>
      </c>
    </row>
    <row r="367" spans="1:7" ht="15.5">
      <c r="A367" s="9"/>
      <c r="B367" s="9" t="s">
        <v>314</v>
      </c>
      <c r="C367" s="12">
        <v>0</v>
      </c>
      <c r="D367" s="12">
        <v>0</v>
      </c>
      <c r="E367" s="12">
        <v>0</v>
      </c>
      <c r="F367" s="623">
        <f>C364-F366</f>
        <v>128057767</v>
      </c>
    </row>
    <row r="368" spans="1:7" ht="31">
      <c r="A368" s="9"/>
      <c r="B368" s="7" t="s">
        <v>315</v>
      </c>
      <c r="C368" s="8">
        <f>C369</f>
        <v>25000000</v>
      </c>
      <c r="D368" s="8">
        <f>D369</f>
        <v>26250000</v>
      </c>
      <c r="E368" s="8">
        <f>E369</f>
        <v>27562500</v>
      </c>
      <c r="F368">
        <v>-4442233.4364128113</v>
      </c>
    </row>
    <row r="369" spans="1:6" ht="31">
      <c r="A369" s="9"/>
      <c r="B369" s="9" t="s">
        <v>271</v>
      </c>
      <c r="C369" s="12">
        <f>25000000</f>
        <v>25000000</v>
      </c>
      <c r="D369" s="12">
        <f>1.05*C369</f>
        <v>26250000</v>
      </c>
      <c r="E369" s="12">
        <f>1.05*D369</f>
        <v>27562500</v>
      </c>
      <c r="F369">
        <f>F366+F368</f>
        <v>-1500000.4364128113</v>
      </c>
    </row>
    <row r="370" spans="1:6" ht="16" thickBot="1">
      <c r="A370" s="9"/>
      <c r="B370" s="27" t="s">
        <v>316</v>
      </c>
      <c r="C370" s="28">
        <f>C368+C365+C363+C361</f>
        <v>231000000</v>
      </c>
      <c r="D370" s="28">
        <f>D368+D365+D363+D361</f>
        <v>242550000</v>
      </c>
      <c r="E370" s="28">
        <f>E368+E365+E363+E361</f>
        <v>254677500</v>
      </c>
    </row>
    <row r="371" spans="1:6" ht="16" thickBot="1">
      <c r="A371" s="9"/>
      <c r="B371" s="27" t="s">
        <v>317</v>
      </c>
      <c r="C371" s="29">
        <f>C370</f>
        <v>231000000</v>
      </c>
      <c r="D371" s="29">
        <f t="shared" ref="D371:E373" si="46">D370</f>
        <v>242550000</v>
      </c>
      <c r="E371" s="29">
        <f t="shared" si="46"/>
        <v>254677500</v>
      </c>
    </row>
    <row r="372" spans="1:6" ht="32" thickTop="1" thickBot="1">
      <c r="A372" s="7" t="s">
        <v>274</v>
      </c>
      <c r="B372" s="27" t="s">
        <v>317</v>
      </c>
      <c r="C372" s="29">
        <f>C371</f>
        <v>231000000</v>
      </c>
      <c r="D372" s="29">
        <f t="shared" si="46"/>
        <v>242550000</v>
      </c>
      <c r="E372" s="29">
        <f t="shared" si="46"/>
        <v>254677500</v>
      </c>
    </row>
    <row r="373" spans="1:6" ht="47" thickTop="1">
      <c r="A373" s="30"/>
      <c r="B373" s="31" t="s">
        <v>318</v>
      </c>
      <c r="C373" s="32">
        <f>C372</f>
        <v>231000000</v>
      </c>
      <c r="D373" s="32">
        <f t="shared" si="46"/>
        <v>242550000</v>
      </c>
      <c r="E373" s="32">
        <f t="shared" si="46"/>
        <v>254677500</v>
      </c>
    </row>
    <row r="374" spans="1:6" ht="15.5">
      <c r="A374" s="2" t="s">
        <v>319</v>
      </c>
      <c r="B374" s="2"/>
      <c r="C374" s="33">
        <f>C373+C351</f>
        <v>505174197</v>
      </c>
      <c r="D374" s="33">
        <f>D373+D351</f>
        <v>493999344.10000002</v>
      </c>
      <c r="E374" s="33">
        <f>E373+E351</f>
        <v>509792803.85250002</v>
      </c>
    </row>
  </sheetData>
  <mergeCells count="7">
    <mergeCell ref="A1:E1"/>
    <mergeCell ref="C358:E358"/>
    <mergeCell ref="C4:E4"/>
    <mergeCell ref="A353:D353"/>
    <mergeCell ref="A355:C355"/>
    <mergeCell ref="A356:C356"/>
    <mergeCell ref="A357:C357"/>
  </mergeCells>
  <pageMargins left="0.7" right="0.7" top="0.75" bottom="0.75" header="0.3" footer="0.3"/>
  <pageSetup scale="69" fitToHeight="0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opLeftCell="A32" workbookViewId="0">
      <selection activeCell="E46" sqref="E46"/>
    </sheetView>
  </sheetViews>
  <sheetFormatPr defaultColWidth="9.08984375" defaultRowHeight="15.5"/>
  <cols>
    <col min="1" max="1" width="41.81640625" style="498" customWidth="1"/>
    <col min="2" max="2" width="21.36328125" style="498" customWidth="1"/>
    <col min="3" max="3" width="20.453125" style="498" customWidth="1"/>
    <col min="4" max="4" width="20.54296875" style="498" customWidth="1"/>
    <col min="5" max="5" width="21.90625" style="498" customWidth="1"/>
    <col min="6" max="16384" width="9.08984375" style="498"/>
  </cols>
  <sheetData>
    <row r="1" spans="1:4">
      <c r="A1" s="740" t="s">
        <v>320</v>
      </c>
      <c r="B1" s="740"/>
      <c r="C1" s="740"/>
      <c r="D1" s="740"/>
    </row>
    <row r="2" spans="1:4" ht="32" customHeight="1">
      <c r="A2" s="554" t="s">
        <v>321</v>
      </c>
      <c r="B2" s="555" t="s">
        <v>11</v>
      </c>
      <c r="C2" s="555" t="s">
        <v>322</v>
      </c>
      <c r="D2" s="555" t="s">
        <v>323</v>
      </c>
    </row>
    <row r="3" spans="1:4" ht="31">
      <c r="A3" s="556" t="s">
        <v>324</v>
      </c>
      <c r="B3" s="557">
        <f>SUM(B4:B6)</f>
        <v>403625</v>
      </c>
      <c r="C3" s="558">
        <f t="shared" ref="C3:D41" si="0">B3*1.05</f>
        <v>423806.25</v>
      </c>
      <c r="D3" s="558">
        <f t="shared" si="0"/>
        <v>444996.5625</v>
      </c>
    </row>
    <row r="4" spans="1:4" ht="31">
      <c r="A4" s="559" t="s">
        <v>84</v>
      </c>
      <c r="B4" s="560">
        <v>381714</v>
      </c>
      <c r="C4" s="561">
        <f t="shared" si="0"/>
        <v>400799.7</v>
      </c>
      <c r="D4" s="561">
        <f t="shared" si="0"/>
        <v>420839.68500000006</v>
      </c>
    </row>
    <row r="5" spans="1:4">
      <c r="A5" s="562" t="s">
        <v>325</v>
      </c>
      <c r="B5" s="560">
        <v>0</v>
      </c>
      <c r="C5" s="561">
        <f t="shared" si="0"/>
        <v>0</v>
      </c>
      <c r="D5" s="561">
        <f t="shared" si="0"/>
        <v>0</v>
      </c>
    </row>
    <row r="6" spans="1:4">
      <c r="A6" s="562" t="s">
        <v>326</v>
      </c>
      <c r="B6" s="560">
        <f>28000-6089</f>
        <v>21911</v>
      </c>
      <c r="C6" s="561">
        <f t="shared" si="0"/>
        <v>23006.55</v>
      </c>
      <c r="D6" s="561">
        <f t="shared" si="0"/>
        <v>24156.877499999999</v>
      </c>
    </row>
    <row r="7" spans="1:4" ht="46.5">
      <c r="A7" s="563" t="s">
        <v>191</v>
      </c>
      <c r="B7" s="557">
        <f>SUM(B8:B10)</f>
        <v>15511341</v>
      </c>
      <c r="C7" s="558">
        <f t="shared" si="0"/>
        <v>16286908.050000001</v>
      </c>
      <c r="D7" s="558">
        <f t="shared" si="0"/>
        <v>17101253.452500001</v>
      </c>
    </row>
    <row r="8" spans="1:4" ht="31">
      <c r="A8" s="559" t="s">
        <v>86</v>
      </c>
      <c r="B8" s="560">
        <v>3854531</v>
      </c>
      <c r="C8" s="561">
        <f t="shared" si="0"/>
        <v>4047257.5500000003</v>
      </c>
      <c r="D8" s="561">
        <f t="shared" si="0"/>
        <v>4249620.4275000002</v>
      </c>
    </row>
    <row r="9" spans="1:4">
      <c r="A9" s="564" t="s">
        <v>327</v>
      </c>
      <c r="B9" s="560">
        <v>7691104</v>
      </c>
      <c r="C9" s="561">
        <f t="shared" si="0"/>
        <v>8075659.2000000002</v>
      </c>
      <c r="D9" s="561">
        <f t="shared" si="0"/>
        <v>8479442.1600000001</v>
      </c>
    </row>
    <row r="10" spans="1:4">
      <c r="A10" s="559" t="s">
        <v>254</v>
      </c>
      <c r="B10" s="565">
        <v>3965706</v>
      </c>
      <c r="C10" s="561">
        <f t="shared" si="0"/>
        <v>4163991.3000000003</v>
      </c>
      <c r="D10" s="561">
        <f t="shared" si="0"/>
        <v>4372190.8650000002</v>
      </c>
    </row>
    <row r="11" spans="1:4" ht="31">
      <c r="A11" s="566" t="s">
        <v>195</v>
      </c>
      <c r="B11" s="567">
        <f>SUM(B12:B13)</f>
        <v>2092357</v>
      </c>
      <c r="C11" s="558">
        <f t="shared" si="0"/>
        <v>2196974.85</v>
      </c>
      <c r="D11" s="558">
        <f t="shared" si="0"/>
        <v>2306823.5925000003</v>
      </c>
    </row>
    <row r="12" spans="1:4" ht="31">
      <c r="A12" s="559" t="s">
        <v>196</v>
      </c>
      <c r="B12" s="560">
        <v>2092357</v>
      </c>
      <c r="C12" s="561">
        <f t="shared" si="0"/>
        <v>2196974.85</v>
      </c>
      <c r="D12" s="561">
        <f t="shared" si="0"/>
        <v>2306823.5925000003</v>
      </c>
    </row>
    <row r="13" spans="1:4">
      <c r="A13" s="562" t="s">
        <v>328</v>
      </c>
      <c r="B13" s="560">
        <v>0</v>
      </c>
      <c r="C13" s="561">
        <f t="shared" si="0"/>
        <v>0</v>
      </c>
      <c r="D13" s="561">
        <f t="shared" si="0"/>
        <v>0</v>
      </c>
    </row>
    <row r="14" spans="1:4">
      <c r="A14" s="566" t="s">
        <v>329</v>
      </c>
      <c r="B14" s="557">
        <f>SUM(B15:B16)</f>
        <v>3857658</v>
      </c>
      <c r="C14" s="558">
        <f t="shared" si="0"/>
        <v>4050540.9000000004</v>
      </c>
      <c r="D14" s="558">
        <f t="shared" si="0"/>
        <v>4253067.9450000003</v>
      </c>
    </row>
    <row r="15" spans="1:4">
      <c r="A15" s="559" t="s">
        <v>260</v>
      </c>
      <c r="B15" s="560">
        <v>2162678</v>
      </c>
      <c r="C15" s="561">
        <f t="shared" si="0"/>
        <v>2270811.9</v>
      </c>
      <c r="D15" s="561">
        <f t="shared" si="0"/>
        <v>2384352.4950000001</v>
      </c>
    </row>
    <row r="16" spans="1:4">
      <c r="A16" s="562" t="s">
        <v>94</v>
      </c>
      <c r="B16" s="560">
        <f>1094980+600000</f>
        <v>1694980</v>
      </c>
      <c r="C16" s="561">
        <f t="shared" si="0"/>
        <v>1779729</v>
      </c>
      <c r="D16" s="561">
        <f t="shared" si="0"/>
        <v>1868715.4500000002</v>
      </c>
    </row>
    <row r="17" spans="1:4" ht="31">
      <c r="A17" s="566" t="s">
        <v>200</v>
      </c>
      <c r="B17" s="557">
        <f>SUM(B18:B19)</f>
        <v>9228544</v>
      </c>
      <c r="C17" s="558">
        <f t="shared" si="0"/>
        <v>9689971.2000000011</v>
      </c>
      <c r="D17" s="558">
        <f t="shared" si="0"/>
        <v>10174469.760000002</v>
      </c>
    </row>
    <row r="18" spans="1:4" ht="31">
      <c r="A18" s="559" t="s">
        <v>330</v>
      </c>
      <c r="B18" s="560">
        <f>4402144</f>
        <v>4402144</v>
      </c>
      <c r="C18" s="561">
        <f t="shared" si="0"/>
        <v>4622251.2</v>
      </c>
      <c r="D18" s="561">
        <f t="shared" si="0"/>
        <v>4853363.7600000007</v>
      </c>
    </row>
    <row r="19" spans="1:4" ht="31">
      <c r="A19" s="562" t="s">
        <v>202</v>
      </c>
      <c r="B19" s="565">
        <v>4826400</v>
      </c>
      <c r="C19" s="561">
        <f t="shared" si="0"/>
        <v>5067720</v>
      </c>
      <c r="D19" s="561">
        <f t="shared" si="0"/>
        <v>5321106</v>
      </c>
    </row>
    <row r="20" spans="1:4">
      <c r="A20" s="566" t="s">
        <v>331</v>
      </c>
      <c r="B20" s="557">
        <f>B21</f>
        <v>370000</v>
      </c>
      <c r="C20" s="558">
        <f t="shared" si="0"/>
        <v>388500</v>
      </c>
      <c r="D20" s="558">
        <f t="shared" si="0"/>
        <v>407925</v>
      </c>
    </row>
    <row r="21" spans="1:4">
      <c r="A21" s="559" t="s">
        <v>332</v>
      </c>
      <c r="B21" s="560">
        <v>370000</v>
      </c>
      <c r="C21" s="561">
        <f t="shared" si="0"/>
        <v>388500</v>
      </c>
      <c r="D21" s="561">
        <f t="shared" si="0"/>
        <v>407925</v>
      </c>
    </row>
    <row r="22" spans="1:4" ht="31">
      <c r="A22" s="553" t="s">
        <v>290</v>
      </c>
      <c r="B22" s="161">
        <v>250000</v>
      </c>
      <c r="C22" s="568">
        <f>B22*1.05</f>
        <v>262500</v>
      </c>
      <c r="D22" s="569">
        <f>C22*1.05</f>
        <v>275625</v>
      </c>
    </row>
    <row r="23" spans="1:4" ht="31">
      <c r="A23" s="559" t="s">
        <v>291</v>
      </c>
      <c r="B23" s="570">
        <v>250000</v>
      </c>
      <c r="C23" s="571">
        <f>1.05*B23</f>
        <v>262500</v>
      </c>
      <c r="D23" s="570">
        <f t="shared" ref="D23" si="1">1.05*C23</f>
        <v>275625</v>
      </c>
    </row>
    <row r="24" spans="1:4" ht="31">
      <c r="A24" s="563" t="s">
        <v>205</v>
      </c>
      <c r="B24" s="572">
        <f>B26+B25</f>
        <v>1713540</v>
      </c>
      <c r="C24" s="558">
        <f t="shared" si="0"/>
        <v>1799217</v>
      </c>
      <c r="D24" s="558">
        <f t="shared" si="0"/>
        <v>1889177.85</v>
      </c>
    </row>
    <row r="25" spans="1:4" ht="46.5">
      <c r="A25" s="562" t="s">
        <v>333</v>
      </c>
      <c r="B25" s="560">
        <v>1470360</v>
      </c>
      <c r="C25" s="561">
        <f t="shared" si="0"/>
        <v>1543878</v>
      </c>
      <c r="D25" s="561">
        <f t="shared" si="0"/>
        <v>1621071.9000000001</v>
      </c>
    </row>
    <row r="26" spans="1:4" ht="31">
      <c r="A26" s="559" t="s">
        <v>207</v>
      </c>
      <c r="B26" s="565">
        <v>243180</v>
      </c>
      <c r="C26" s="561">
        <f t="shared" si="0"/>
        <v>255339</v>
      </c>
      <c r="D26" s="561">
        <f t="shared" si="0"/>
        <v>268105.95</v>
      </c>
    </row>
    <row r="27" spans="1:4">
      <c r="A27" s="563" t="s">
        <v>208</v>
      </c>
      <c r="B27" s="573">
        <f>B28</f>
        <v>1513040</v>
      </c>
      <c r="C27" s="558">
        <f t="shared" si="0"/>
        <v>1588692</v>
      </c>
      <c r="D27" s="558">
        <f t="shared" si="0"/>
        <v>1668126.6</v>
      </c>
    </row>
    <row r="28" spans="1:4" ht="31">
      <c r="A28" s="562" t="s">
        <v>209</v>
      </c>
      <c r="B28" s="560">
        <v>1513040</v>
      </c>
      <c r="C28" s="561">
        <f t="shared" si="0"/>
        <v>1588692</v>
      </c>
      <c r="D28" s="561">
        <f t="shared" si="0"/>
        <v>1668126.6</v>
      </c>
    </row>
    <row r="29" spans="1:4">
      <c r="A29" s="563" t="s">
        <v>210</v>
      </c>
      <c r="B29" s="574">
        <f>SUM(B30:B31)</f>
        <v>2180700</v>
      </c>
      <c r="C29" s="558">
        <f t="shared" si="0"/>
        <v>2289735</v>
      </c>
      <c r="D29" s="558">
        <f t="shared" si="0"/>
        <v>2404221.75</v>
      </c>
    </row>
    <row r="30" spans="1:4" ht="46.5">
      <c r="A30" s="562" t="s">
        <v>211</v>
      </c>
      <c r="B30" s="560">
        <f>640700-58000-200000</f>
        <v>382700</v>
      </c>
      <c r="C30" s="561">
        <f t="shared" si="0"/>
        <v>401835</v>
      </c>
      <c r="D30" s="561">
        <f t="shared" si="0"/>
        <v>421926.75</v>
      </c>
    </row>
    <row r="31" spans="1:4" ht="31">
      <c r="A31" s="559" t="s">
        <v>334</v>
      </c>
      <c r="B31" s="565">
        <v>1798000</v>
      </c>
      <c r="C31" s="561">
        <f t="shared" si="0"/>
        <v>1887900</v>
      </c>
      <c r="D31" s="561">
        <f t="shared" si="0"/>
        <v>1982295</v>
      </c>
    </row>
    <row r="32" spans="1:4" ht="31">
      <c r="A32" s="563" t="s">
        <v>270</v>
      </c>
      <c r="B32" s="573">
        <f>SUM(B33:B35)</f>
        <v>2614000</v>
      </c>
      <c r="C32" s="558">
        <f t="shared" si="0"/>
        <v>2744700</v>
      </c>
      <c r="D32" s="558">
        <f t="shared" si="0"/>
        <v>2881935</v>
      </c>
    </row>
    <row r="33" spans="1:5" ht="31">
      <c r="A33" s="562" t="s">
        <v>281</v>
      </c>
      <c r="B33" s="560">
        <v>224000</v>
      </c>
      <c r="C33" s="561">
        <f>B33*1.05</f>
        <v>235200</v>
      </c>
      <c r="D33" s="561">
        <f t="shared" si="0"/>
        <v>246960</v>
      </c>
    </row>
    <row r="34" spans="1:5" ht="31">
      <c r="A34" s="562" t="s">
        <v>335</v>
      </c>
      <c r="B34" s="560">
        <v>1200000</v>
      </c>
      <c r="C34" s="561">
        <f t="shared" ref="C34" si="2">B34*1.05</f>
        <v>1260000</v>
      </c>
      <c r="D34" s="561">
        <f t="shared" si="0"/>
        <v>1323000</v>
      </c>
    </row>
    <row r="35" spans="1:5" ht="31">
      <c r="A35" s="562" t="s">
        <v>336</v>
      </c>
      <c r="B35" s="560">
        <v>1190000</v>
      </c>
      <c r="C35" s="561">
        <f>B35*1.05</f>
        <v>1249500</v>
      </c>
      <c r="D35" s="561">
        <f>C35*1.05</f>
        <v>1311975</v>
      </c>
    </row>
    <row r="36" spans="1:5" ht="31">
      <c r="A36" s="563" t="s">
        <v>267</v>
      </c>
      <c r="B36" s="557">
        <f>SUM(B37:B39)</f>
        <v>951979</v>
      </c>
      <c r="C36" s="558">
        <f t="shared" si="0"/>
        <v>999577.95000000007</v>
      </c>
      <c r="D36" s="558">
        <f t="shared" si="0"/>
        <v>1049556.8475000001</v>
      </c>
    </row>
    <row r="37" spans="1:5" ht="31">
      <c r="A37" s="562" t="s">
        <v>213</v>
      </c>
      <c r="B37" s="560">
        <v>574011</v>
      </c>
      <c r="C37" s="561">
        <f t="shared" si="0"/>
        <v>602711.55000000005</v>
      </c>
      <c r="D37" s="561">
        <f t="shared" si="0"/>
        <v>632847.12750000006</v>
      </c>
    </row>
    <row r="38" spans="1:5" ht="31">
      <c r="A38" s="559" t="s">
        <v>337</v>
      </c>
      <c r="B38" s="560">
        <f>124000-796</f>
        <v>123204</v>
      </c>
      <c r="C38" s="561">
        <f t="shared" si="0"/>
        <v>129364.20000000001</v>
      </c>
      <c r="D38" s="561">
        <f t="shared" si="0"/>
        <v>135832.41</v>
      </c>
    </row>
    <row r="39" spans="1:5" ht="31">
      <c r="A39" s="562" t="s">
        <v>269</v>
      </c>
      <c r="B39" s="560">
        <v>254764</v>
      </c>
      <c r="C39" s="561">
        <f t="shared" si="0"/>
        <v>267502.2</v>
      </c>
      <c r="D39" s="561">
        <f t="shared" si="0"/>
        <v>280877.31</v>
      </c>
    </row>
    <row r="40" spans="1:5">
      <c r="A40" s="556" t="s">
        <v>72</v>
      </c>
      <c r="B40" s="575">
        <f>B36+B32+B29+B27+B24+B22+B20+B17+B14+B11+B7+B3</f>
        <v>40686784</v>
      </c>
      <c r="C40" s="558">
        <f t="shared" si="0"/>
        <v>42721123.200000003</v>
      </c>
      <c r="D40" s="558">
        <f t="shared" si="0"/>
        <v>44857179.360000007</v>
      </c>
    </row>
    <row r="41" spans="1:5">
      <c r="A41" s="556" t="s">
        <v>73</v>
      </c>
      <c r="B41" s="576">
        <v>0</v>
      </c>
      <c r="C41" s="558">
        <f t="shared" si="0"/>
        <v>0</v>
      </c>
      <c r="D41" s="558">
        <f t="shared" si="0"/>
        <v>0</v>
      </c>
    </row>
    <row r="42" spans="1:5">
      <c r="A42" s="556" t="s">
        <v>153</v>
      </c>
      <c r="B42" s="577"/>
      <c r="C42" s="558"/>
      <c r="D42" s="558"/>
    </row>
    <row r="43" spans="1:5">
      <c r="A43" s="556" t="s">
        <v>223</v>
      </c>
      <c r="B43" s="577">
        <f>B44</f>
        <v>13232215</v>
      </c>
      <c r="C43" s="558">
        <f>B43*1.05</f>
        <v>13893825.75</v>
      </c>
      <c r="D43" s="558">
        <f>C43*1.05</f>
        <v>14588517.037500001</v>
      </c>
    </row>
    <row r="44" spans="1:5" ht="31">
      <c r="A44" s="578" t="s">
        <v>338</v>
      </c>
      <c r="B44" s="576">
        <v>13232215</v>
      </c>
      <c r="C44" s="558">
        <f t="shared" ref="C44:D46" si="3">B44*1.05</f>
        <v>13893825.75</v>
      </c>
      <c r="D44" s="558">
        <f t="shared" si="3"/>
        <v>14588517.037500001</v>
      </c>
      <c r="E44" s="576">
        <f>-3582007-5000+16819222</f>
        <v>13232215</v>
      </c>
    </row>
    <row r="45" spans="1:5">
      <c r="A45" s="556" t="s">
        <v>5</v>
      </c>
      <c r="B45" s="577">
        <f>B43</f>
        <v>13232215</v>
      </c>
      <c r="C45" s="558">
        <f t="shared" si="3"/>
        <v>13893825.75</v>
      </c>
      <c r="D45" s="558">
        <f t="shared" si="3"/>
        <v>14588517.037500001</v>
      </c>
      <c r="E45" s="498">
        <v>10289982</v>
      </c>
    </row>
    <row r="46" spans="1:5">
      <c r="A46" s="556" t="s">
        <v>339</v>
      </c>
      <c r="B46" s="577">
        <f>B40+B43</f>
        <v>53918999</v>
      </c>
      <c r="C46" s="558">
        <f>B46*1.05</f>
        <v>56614948.950000003</v>
      </c>
      <c r="D46" s="558">
        <f t="shared" si="3"/>
        <v>59445696.397500008</v>
      </c>
      <c r="E46" s="610">
        <f>E44-E45</f>
        <v>2942233</v>
      </c>
    </row>
  </sheetData>
  <protectedRanges>
    <protectedRange password="C43E" sqref="A4:A6" name="Range1_30_2_2_4_1_1"/>
    <protectedRange password="C43E" sqref="A8" name="Range1_31_2_2_4_1_1"/>
    <protectedRange password="C43E" sqref="A9" name="Range1_32_2_2_4_1_1"/>
    <protectedRange password="C43E" sqref="A10" name="Range1_33_2_2_4_1_1"/>
    <protectedRange password="C43E" sqref="A12:A13" name="Range1_35_2_2_4_1_1"/>
    <protectedRange password="C43E" sqref="A15:A16" name="Range1_36_2_2_4_1_1"/>
    <protectedRange password="C43E" sqref="A18:A19" name="Range1_37_2_2_4_1_1"/>
    <protectedRange password="C43E" sqref="A21" name="Range1_38_2_2_4_1_1"/>
    <protectedRange password="C43E" sqref="A25" name="Range1_39_2_2_4_1_1"/>
    <protectedRange password="C43E" sqref="A26 A28" name="Range1_40_2_2_4_1_1"/>
    <protectedRange password="C43E" sqref="A30" name="Range1_41_2_2_4_1_1"/>
    <protectedRange password="C43E" sqref="A31" name="Range1_42_2_2_4_1_1"/>
    <protectedRange password="C43E" sqref="A37" name="Range1_43_2_2_4_1_1"/>
    <protectedRange password="C43E" sqref="A38" name="Range1_44_2_2_4_1_1"/>
    <protectedRange password="C43E" sqref="A34 A39" name="Range1_45_2_2_4_1_1"/>
    <protectedRange password="C43E" sqref="A35 A33" name="Range1_49_2_2_4_1_1"/>
    <protectedRange password="C43E" sqref="B3" name="Range1_29_2_2_6_1_1"/>
    <protectedRange password="C43E" sqref="B7" name="Range1_30_2_2_6_1_1"/>
    <protectedRange password="C43E" sqref="B11" name="Range1_32_2_2_6_1_1"/>
    <protectedRange password="C43E" sqref="B14" name="Range1_35_2_2_6_1_1"/>
    <protectedRange password="C43E" sqref="B17" name="Range1_36_2_2_6_1_1"/>
    <protectedRange password="C43E" sqref="B20" name="Range1_37_2_2_6_1_1"/>
    <protectedRange password="C43E" sqref="B32" name="Range1_48_2_2_6_1_1"/>
    <protectedRange password="C43E" sqref="B36" name="Range1_49_2_2_6_1_1"/>
    <protectedRange password="C43E" sqref="B27" name="Range1_40_2_3_1_1"/>
    <protectedRange password="C43E" sqref="C22:C23" name="Range1_25_2_2_4_3_1"/>
    <protectedRange password="C43E" sqref="A23" name="Range1_38_2_2_4_3_1"/>
    <protectedRange password="C43E" sqref="B22" name="Range1_37_2_2_6_3_1"/>
    <protectedRange password="C43E" sqref="B23" name="Range1_38_2_2_6_3_1"/>
    <protectedRange password="C43E" sqref="D22:D23" name="Range1_25_2_3_3_1"/>
  </protectedRanges>
  <mergeCells count="1">
    <mergeCell ref="A1:D1"/>
  </mergeCells>
  <pageMargins left="0.7" right="0.7" top="0.75" bottom="0.75" header="0.3" footer="0.3"/>
  <pageSetup scale="80" fitToHeight="0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4"/>
  <sheetViews>
    <sheetView topLeftCell="A136" workbookViewId="0">
      <selection activeCell="C139" sqref="C139"/>
    </sheetView>
  </sheetViews>
  <sheetFormatPr defaultColWidth="8.7265625" defaultRowHeight="14.5"/>
  <cols>
    <col min="1" max="1" width="11.7265625" style="69" bestFit="1" customWidth="1"/>
    <col min="2" max="2" width="46.36328125" style="69" customWidth="1"/>
    <col min="3" max="3" width="15.36328125" style="69" customWidth="1"/>
    <col min="4" max="4" width="13.26953125" style="69" customWidth="1"/>
    <col min="5" max="5" width="15.6328125" style="69" customWidth="1"/>
    <col min="6" max="6" width="21.6328125" style="69" customWidth="1"/>
    <col min="7" max="16384" width="8.7265625" style="69"/>
  </cols>
  <sheetData>
    <row r="1" spans="1:5">
      <c r="A1" s="755" t="s">
        <v>376</v>
      </c>
      <c r="B1" s="755"/>
      <c r="C1" s="755"/>
      <c r="D1" s="755"/>
      <c r="E1" s="755"/>
    </row>
    <row r="2" spans="1:5">
      <c r="A2" s="756" t="s">
        <v>377</v>
      </c>
      <c r="B2" s="756"/>
      <c r="C2" s="756"/>
      <c r="D2" s="756"/>
      <c r="E2" s="756"/>
    </row>
    <row r="3" spans="1:5">
      <c r="A3" s="754" t="s">
        <v>378</v>
      </c>
      <c r="B3" s="754"/>
      <c r="C3" s="754"/>
      <c r="D3" s="754"/>
      <c r="E3" s="754"/>
    </row>
    <row r="4" spans="1:5">
      <c r="A4" s="84"/>
      <c r="B4" s="85"/>
      <c r="C4" s="757" t="s">
        <v>379</v>
      </c>
      <c r="D4" s="758"/>
      <c r="E4" s="759"/>
    </row>
    <row r="5" spans="1:5" ht="42">
      <c r="A5" s="86" t="s">
        <v>245</v>
      </c>
      <c r="B5" s="86" t="s">
        <v>184</v>
      </c>
      <c r="C5" s="86" t="s">
        <v>380</v>
      </c>
      <c r="D5" s="86" t="s">
        <v>381</v>
      </c>
      <c r="E5" s="86" t="s">
        <v>382</v>
      </c>
    </row>
    <row r="6" spans="1:5">
      <c r="A6" s="39"/>
      <c r="B6" s="40"/>
      <c r="C6" s="40" t="s">
        <v>248</v>
      </c>
      <c r="D6" s="40" t="s">
        <v>248</v>
      </c>
      <c r="E6" s="40" t="s">
        <v>248</v>
      </c>
    </row>
    <row r="7" spans="1:5" ht="42">
      <c r="A7" s="52" t="s">
        <v>383</v>
      </c>
      <c r="B7" s="53" t="s">
        <v>189</v>
      </c>
      <c r="C7" s="74">
        <f>C8+C9</f>
        <v>801000</v>
      </c>
      <c r="D7" s="74">
        <f>D8+D9</f>
        <v>841050</v>
      </c>
      <c r="E7" s="74">
        <f>E8+E9</f>
        <v>883102.5</v>
      </c>
    </row>
    <row r="8" spans="1:5">
      <c r="A8" s="55"/>
      <c r="B8" s="56" t="s">
        <v>190</v>
      </c>
      <c r="C8" s="75">
        <v>600000</v>
      </c>
      <c r="D8" s="76">
        <f>1.05*C8</f>
        <v>630000</v>
      </c>
      <c r="E8" s="76">
        <f>1.05*D8</f>
        <v>661500</v>
      </c>
    </row>
    <row r="9" spans="1:5">
      <c r="A9" s="55"/>
      <c r="B9" s="56" t="s">
        <v>250</v>
      </c>
      <c r="C9" s="75">
        <v>201000</v>
      </c>
      <c r="D9" s="76">
        <f t="shared" ref="D9:E9" si="0">1.05*C9</f>
        <v>211050</v>
      </c>
      <c r="E9" s="76">
        <f t="shared" si="0"/>
        <v>221602.5</v>
      </c>
    </row>
    <row r="10" spans="1:5">
      <c r="A10" s="55"/>
      <c r="B10" s="53" t="s">
        <v>251</v>
      </c>
      <c r="C10" s="74">
        <f>C11+C12</f>
        <v>91200</v>
      </c>
      <c r="D10" s="74">
        <f t="shared" ref="D10:E10" si="1">D11+D12</f>
        <v>95760</v>
      </c>
      <c r="E10" s="74">
        <f t="shared" si="1"/>
        <v>100548</v>
      </c>
    </row>
    <row r="11" spans="1:5" ht="28">
      <c r="A11" s="55"/>
      <c r="B11" s="56" t="s">
        <v>278</v>
      </c>
      <c r="C11" s="75">
        <v>0</v>
      </c>
      <c r="D11" s="76">
        <f t="shared" ref="D11:E12" si="2">1.05*C11</f>
        <v>0</v>
      </c>
      <c r="E11" s="76">
        <f t="shared" si="2"/>
        <v>0</v>
      </c>
    </row>
    <row r="12" spans="1:5">
      <c r="A12" s="55"/>
      <c r="B12" s="56" t="s">
        <v>252</v>
      </c>
      <c r="C12" s="75">
        <v>91200</v>
      </c>
      <c r="D12" s="76">
        <f t="shared" si="2"/>
        <v>95760</v>
      </c>
      <c r="E12" s="76">
        <f t="shared" si="2"/>
        <v>100548</v>
      </c>
    </row>
    <row r="13" spans="1:5" ht="28">
      <c r="A13" s="55"/>
      <c r="B13" s="53" t="s">
        <v>191</v>
      </c>
      <c r="C13" s="74">
        <f>C14+C15+C16+C17+C18</f>
        <v>22937083</v>
      </c>
      <c r="D13" s="74">
        <f t="shared" ref="D13:E13" si="3">D14+D15+D16+D17+D18</f>
        <v>24083937.149999999</v>
      </c>
      <c r="E13" s="74">
        <f t="shared" si="3"/>
        <v>25288134.0075</v>
      </c>
    </row>
    <row r="14" spans="1:5" ht="28">
      <c r="A14" s="55"/>
      <c r="B14" s="56" t="s">
        <v>192</v>
      </c>
      <c r="C14" s="75">
        <v>1369000</v>
      </c>
      <c r="D14" s="76">
        <f t="shared" ref="D14:E18" si="4">1.05*C14</f>
        <v>1437450</v>
      </c>
      <c r="E14" s="76">
        <f t="shared" si="4"/>
        <v>1509322.5</v>
      </c>
    </row>
    <row r="15" spans="1:5">
      <c r="A15" s="55"/>
      <c r="B15" s="56" t="s">
        <v>193</v>
      </c>
      <c r="C15" s="75">
        <v>1726905</v>
      </c>
      <c r="D15" s="76">
        <f t="shared" si="4"/>
        <v>1813250.25</v>
      </c>
      <c r="E15" s="76">
        <f t="shared" si="4"/>
        <v>1903912.7625000002</v>
      </c>
    </row>
    <row r="16" spans="1:5">
      <c r="A16" s="55"/>
      <c r="B16" s="56" t="s">
        <v>194</v>
      </c>
      <c r="C16" s="75">
        <v>1159040</v>
      </c>
      <c r="D16" s="76">
        <f t="shared" si="4"/>
        <v>1216992</v>
      </c>
      <c r="E16" s="76">
        <f t="shared" si="4"/>
        <v>1277841.6000000001</v>
      </c>
    </row>
    <row r="17" spans="1:5">
      <c r="A17" s="55"/>
      <c r="B17" s="56" t="s">
        <v>254</v>
      </c>
      <c r="C17" s="75">
        <v>12063738</v>
      </c>
      <c r="D17" s="76">
        <f t="shared" si="4"/>
        <v>12666924.9</v>
      </c>
      <c r="E17" s="76">
        <f t="shared" si="4"/>
        <v>13300271.145000001</v>
      </c>
    </row>
    <row r="18" spans="1:5">
      <c r="A18" s="55"/>
      <c r="B18" s="56" t="s">
        <v>232</v>
      </c>
      <c r="C18" s="75">
        <v>6618400</v>
      </c>
      <c r="D18" s="76">
        <f t="shared" si="4"/>
        <v>6949320</v>
      </c>
      <c r="E18" s="76">
        <f t="shared" si="4"/>
        <v>7296786</v>
      </c>
    </row>
    <row r="19" spans="1:5" ht="28">
      <c r="A19" s="55"/>
      <c r="B19" s="53" t="s">
        <v>384</v>
      </c>
      <c r="C19" s="77">
        <f>SUM(C20:C20)</f>
        <v>0</v>
      </c>
      <c r="D19" s="77">
        <f t="shared" ref="D19:E19" si="5">SUM(D20:D20)</f>
        <v>0</v>
      </c>
      <c r="E19" s="77">
        <f t="shared" si="5"/>
        <v>0</v>
      </c>
    </row>
    <row r="20" spans="1:5">
      <c r="A20" s="55"/>
      <c r="B20" s="56" t="s">
        <v>385</v>
      </c>
      <c r="C20" s="75"/>
      <c r="D20" s="76">
        <f t="shared" ref="D20:E20" si="6">1.05*C20</f>
        <v>0</v>
      </c>
      <c r="E20" s="76">
        <f t="shared" si="6"/>
        <v>0</v>
      </c>
    </row>
    <row r="21" spans="1:5" ht="28">
      <c r="A21" s="55"/>
      <c r="B21" s="53" t="s">
        <v>195</v>
      </c>
      <c r="C21" s="74">
        <f>C22+C23</f>
        <v>105000</v>
      </c>
      <c r="D21" s="74">
        <f t="shared" ref="D21:E21" si="7">D22+D23</f>
        <v>110250</v>
      </c>
      <c r="E21" s="74">
        <f t="shared" si="7"/>
        <v>115762.5</v>
      </c>
    </row>
    <row r="22" spans="1:5">
      <c r="A22" s="55"/>
      <c r="B22" s="56" t="s">
        <v>386</v>
      </c>
      <c r="C22" s="75">
        <v>105000</v>
      </c>
      <c r="D22" s="76">
        <f t="shared" ref="D22:E23" si="8">1.05*C22</f>
        <v>110250</v>
      </c>
      <c r="E22" s="76">
        <f t="shared" si="8"/>
        <v>115762.5</v>
      </c>
    </row>
    <row r="23" spans="1:5" ht="28">
      <c r="A23" s="55"/>
      <c r="B23" s="56" t="s">
        <v>196</v>
      </c>
      <c r="C23" s="75">
        <v>0</v>
      </c>
      <c r="D23" s="76">
        <f t="shared" si="8"/>
        <v>0</v>
      </c>
      <c r="E23" s="76">
        <f t="shared" si="8"/>
        <v>0</v>
      </c>
    </row>
    <row r="24" spans="1:5">
      <c r="A24" s="55"/>
      <c r="B24" s="53" t="s">
        <v>258</v>
      </c>
      <c r="C24" s="74">
        <f>C25+C26+C27</f>
        <v>4065300</v>
      </c>
      <c r="D24" s="74">
        <f t="shared" ref="D24:E24" si="9">D25+D26+D27</f>
        <v>4268565</v>
      </c>
      <c r="E24" s="74">
        <f t="shared" si="9"/>
        <v>4481993.25</v>
      </c>
    </row>
    <row r="25" spans="1:5">
      <c r="A25" s="55"/>
      <c r="B25" s="56" t="s">
        <v>260</v>
      </c>
      <c r="C25" s="75">
        <v>602500</v>
      </c>
      <c r="D25" s="76">
        <f t="shared" ref="D25:E27" si="10">1.05*C25</f>
        <v>632625</v>
      </c>
      <c r="E25" s="76">
        <f t="shared" si="10"/>
        <v>664256.25</v>
      </c>
    </row>
    <row r="26" spans="1:5">
      <c r="A26" s="55"/>
      <c r="B26" s="56" t="s">
        <v>261</v>
      </c>
      <c r="C26" s="75">
        <v>1840000</v>
      </c>
      <c r="D26" s="76">
        <f t="shared" si="10"/>
        <v>1932000</v>
      </c>
      <c r="E26" s="76">
        <f t="shared" si="10"/>
        <v>2028600</v>
      </c>
    </row>
    <row r="27" spans="1:5">
      <c r="A27" s="55"/>
      <c r="B27" s="56" t="s">
        <v>387</v>
      </c>
      <c r="C27" s="75">
        <v>1622800</v>
      </c>
      <c r="D27" s="76">
        <f t="shared" si="10"/>
        <v>1703940</v>
      </c>
      <c r="E27" s="76">
        <f t="shared" si="10"/>
        <v>1789137</v>
      </c>
    </row>
    <row r="28" spans="1:5">
      <c r="A28" s="55"/>
      <c r="B28" s="53" t="s">
        <v>200</v>
      </c>
      <c r="C28" s="74">
        <f>C29+C30+C31</f>
        <v>4537244</v>
      </c>
      <c r="D28" s="74">
        <f t="shared" ref="D28:E28" si="11">D29+D30+D31</f>
        <v>4764106.2</v>
      </c>
      <c r="E28" s="74">
        <f t="shared" si="11"/>
        <v>5002311.51</v>
      </c>
    </row>
    <row r="29" spans="1:5" ht="28">
      <c r="A29" s="55"/>
      <c r="B29" s="56" t="s">
        <v>201</v>
      </c>
      <c r="C29" s="75">
        <v>2219810</v>
      </c>
      <c r="D29" s="76">
        <f t="shared" ref="D29:E31" si="12">1.05*C29</f>
        <v>2330800.5</v>
      </c>
      <c r="E29" s="76">
        <f t="shared" si="12"/>
        <v>2447340.5249999999</v>
      </c>
    </row>
    <row r="30" spans="1:5" ht="28">
      <c r="A30" s="55"/>
      <c r="B30" s="56" t="s">
        <v>202</v>
      </c>
      <c r="C30" s="75">
        <f>1354400+463034</f>
        <v>1817434</v>
      </c>
      <c r="D30" s="76">
        <f t="shared" si="12"/>
        <v>1908305.7000000002</v>
      </c>
      <c r="E30" s="76">
        <f t="shared" si="12"/>
        <v>2003720.9850000003</v>
      </c>
    </row>
    <row r="31" spans="1:5">
      <c r="A31" s="55"/>
      <c r="B31" s="56" t="s">
        <v>388</v>
      </c>
      <c r="C31" s="75">
        <v>500000</v>
      </c>
      <c r="D31" s="76">
        <f t="shared" si="12"/>
        <v>525000</v>
      </c>
      <c r="E31" s="76">
        <f t="shared" si="12"/>
        <v>551250</v>
      </c>
    </row>
    <row r="32" spans="1:5">
      <c r="A32" s="55"/>
      <c r="B32" s="53" t="s">
        <v>203</v>
      </c>
      <c r="C32" s="74">
        <f>C33</f>
        <v>250000</v>
      </c>
      <c r="D32" s="74">
        <f t="shared" ref="D32:E32" si="13">D33</f>
        <v>262500</v>
      </c>
      <c r="E32" s="74">
        <f t="shared" si="13"/>
        <v>275625</v>
      </c>
    </row>
    <row r="33" spans="1:6">
      <c r="A33" s="55"/>
      <c r="B33" s="56" t="s">
        <v>262</v>
      </c>
      <c r="C33" s="75">
        <v>250000</v>
      </c>
      <c r="D33" s="76">
        <f t="shared" ref="D33:E33" si="14">1.05*C33</f>
        <v>262500</v>
      </c>
      <c r="E33" s="76">
        <f t="shared" si="14"/>
        <v>275625</v>
      </c>
    </row>
    <row r="34" spans="1:6">
      <c r="A34" s="55"/>
      <c r="B34" s="53" t="s">
        <v>290</v>
      </c>
      <c r="C34" s="74">
        <f>C35</f>
        <v>0</v>
      </c>
      <c r="D34" s="74">
        <f t="shared" ref="D34:E34" si="15">D35</f>
        <v>0</v>
      </c>
      <c r="E34" s="74">
        <f t="shared" si="15"/>
        <v>0</v>
      </c>
    </row>
    <row r="35" spans="1:6">
      <c r="A35" s="55"/>
      <c r="B35" s="56" t="s">
        <v>291</v>
      </c>
      <c r="C35" s="75">
        <v>0</v>
      </c>
      <c r="D35" s="76">
        <f t="shared" ref="D35:E35" si="16">1.05*C35</f>
        <v>0</v>
      </c>
      <c r="E35" s="76">
        <f t="shared" si="16"/>
        <v>0</v>
      </c>
    </row>
    <row r="36" spans="1:6" ht="28">
      <c r="A36" s="55"/>
      <c r="B36" s="53" t="s">
        <v>205</v>
      </c>
      <c r="C36" s="74">
        <f>C37+C38</f>
        <v>367305</v>
      </c>
      <c r="D36" s="74">
        <f t="shared" ref="D36:E36" si="17">D37+D38</f>
        <v>385670.25</v>
      </c>
      <c r="E36" s="74">
        <f t="shared" si="17"/>
        <v>404953.76250000001</v>
      </c>
    </row>
    <row r="37" spans="1:6" ht="28">
      <c r="A37" s="55"/>
      <c r="B37" s="56" t="s">
        <v>206</v>
      </c>
      <c r="C37" s="75">
        <v>231255</v>
      </c>
      <c r="D37" s="76">
        <f t="shared" ref="D37:E38" si="18">1.05*C37</f>
        <v>242817.75</v>
      </c>
      <c r="E37" s="76">
        <f t="shared" si="18"/>
        <v>254958.63750000001</v>
      </c>
    </row>
    <row r="38" spans="1:6" ht="28">
      <c r="A38" s="55"/>
      <c r="B38" s="56" t="s">
        <v>207</v>
      </c>
      <c r="C38" s="75">
        <v>136050</v>
      </c>
      <c r="D38" s="76">
        <f t="shared" si="18"/>
        <v>142852.5</v>
      </c>
      <c r="E38" s="76">
        <f t="shared" si="18"/>
        <v>149995.125</v>
      </c>
    </row>
    <row r="39" spans="1:6">
      <c r="A39" s="55"/>
      <c r="B39" s="53" t="s">
        <v>208</v>
      </c>
      <c r="C39" s="74">
        <f>C40</f>
        <v>565200</v>
      </c>
      <c r="D39" s="74">
        <f t="shared" ref="D39:E39" si="19">D40</f>
        <v>593460</v>
      </c>
      <c r="E39" s="74">
        <f t="shared" si="19"/>
        <v>623133</v>
      </c>
    </row>
    <row r="40" spans="1:6" ht="28">
      <c r="A40" s="55"/>
      <c r="B40" s="56" t="s">
        <v>209</v>
      </c>
      <c r="C40" s="75">
        <v>565200</v>
      </c>
      <c r="D40" s="76">
        <f t="shared" ref="D40:E40" si="20">1.05*C40</f>
        <v>593460</v>
      </c>
      <c r="E40" s="76">
        <f t="shared" si="20"/>
        <v>623133</v>
      </c>
    </row>
    <row r="41" spans="1:6">
      <c r="A41" s="55"/>
      <c r="B41" s="53" t="s">
        <v>389</v>
      </c>
      <c r="C41" s="74">
        <f>10763738-4235246</f>
        <v>6528492</v>
      </c>
      <c r="D41" s="74">
        <f>1.05*C41</f>
        <v>6854916.6000000006</v>
      </c>
      <c r="E41" s="74">
        <f>1.05*D41</f>
        <v>7197662.4300000006</v>
      </c>
      <c r="F41" s="69">
        <v>4235246</v>
      </c>
    </row>
    <row r="42" spans="1:6">
      <c r="A42" s="55"/>
      <c r="B42" s="53" t="s">
        <v>210</v>
      </c>
      <c r="C42" s="74">
        <f>C43+C44</f>
        <v>265700</v>
      </c>
      <c r="D42" s="74">
        <f t="shared" ref="D42:E42" si="21">D43+D44</f>
        <v>278985</v>
      </c>
      <c r="E42" s="74">
        <f t="shared" si="21"/>
        <v>292934.25</v>
      </c>
    </row>
    <row r="43" spans="1:6" ht="28">
      <c r="A43" s="55"/>
      <c r="B43" s="56" t="s">
        <v>211</v>
      </c>
      <c r="C43" s="75">
        <v>265700</v>
      </c>
      <c r="D43" s="76">
        <f t="shared" ref="D43:E44" si="22">1.05*C43</f>
        <v>278985</v>
      </c>
      <c r="E43" s="76">
        <f t="shared" si="22"/>
        <v>292934.25</v>
      </c>
    </row>
    <row r="44" spans="1:6">
      <c r="A44" s="55"/>
      <c r="B44" s="56" t="s">
        <v>265</v>
      </c>
      <c r="C44" s="75">
        <v>0</v>
      </c>
      <c r="D44" s="76">
        <f t="shared" si="22"/>
        <v>0</v>
      </c>
      <c r="E44" s="76">
        <f t="shared" si="22"/>
        <v>0</v>
      </c>
    </row>
    <row r="45" spans="1:6" ht="28">
      <c r="A45" s="55"/>
      <c r="B45" s="53" t="s">
        <v>212</v>
      </c>
      <c r="C45" s="74">
        <f>C46</f>
        <v>159880</v>
      </c>
      <c r="D45" s="74">
        <f t="shared" ref="D45:E45" si="23">D46</f>
        <v>167874</v>
      </c>
      <c r="E45" s="74">
        <f t="shared" si="23"/>
        <v>176267.7</v>
      </c>
    </row>
    <row r="46" spans="1:6">
      <c r="A46" s="55"/>
      <c r="B46" s="56" t="s">
        <v>213</v>
      </c>
      <c r="C46" s="75">
        <v>159880</v>
      </c>
      <c r="D46" s="76">
        <f t="shared" ref="D46:E46" si="24">1.05*C46</f>
        <v>167874</v>
      </c>
      <c r="E46" s="76">
        <f t="shared" si="24"/>
        <v>176267.7</v>
      </c>
    </row>
    <row r="47" spans="1:6">
      <c r="A47" s="55"/>
      <c r="B47" s="53" t="s">
        <v>390</v>
      </c>
      <c r="C47" s="77">
        <f>C48</f>
        <v>203000</v>
      </c>
      <c r="D47" s="77">
        <f t="shared" ref="D47:E47" si="25">D48</f>
        <v>213150</v>
      </c>
      <c r="E47" s="77">
        <f t="shared" si="25"/>
        <v>223807.5</v>
      </c>
    </row>
    <row r="48" spans="1:6" ht="28">
      <c r="A48" s="55"/>
      <c r="B48" s="56" t="s">
        <v>391</v>
      </c>
      <c r="C48" s="75">
        <f>123000+80000</f>
        <v>203000</v>
      </c>
      <c r="D48" s="76">
        <f t="shared" ref="D48:E48" si="26">1.05*C48</f>
        <v>213150</v>
      </c>
      <c r="E48" s="76">
        <f t="shared" si="26"/>
        <v>223807.5</v>
      </c>
    </row>
    <row r="49" spans="1:5" ht="28">
      <c r="A49" s="52"/>
      <c r="B49" s="53" t="s">
        <v>392</v>
      </c>
      <c r="C49" s="77">
        <f>C50</f>
        <v>0</v>
      </c>
      <c r="D49" s="77">
        <f t="shared" ref="D49:E49" si="27">D50</f>
        <v>0</v>
      </c>
      <c r="E49" s="77">
        <f t="shared" si="27"/>
        <v>0</v>
      </c>
    </row>
    <row r="50" spans="1:5">
      <c r="A50" s="55"/>
      <c r="B50" s="56" t="s">
        <v>393</v>
      </c>
      <c r="C50" s="75"/>
      <c r="D50" s="76">
        <f t="shared" ref="D50:E50" si="28">1.05*C50</f>
        <v>0</v>
      </c>
      <c r="E50" s="76">
        <f t="shared" si="28"/>
        <v>0</v>
      </c>
    </row>
    <row r="51" spans="1:5" ht="28">
      <c r="A51" s="55"/>
      <c r="B51" s="53" t="s">
        <v>394</v>
      </c>
      <c r="C51" s="77">
        <f>SUM(C52:C54)</f>
        <v>560000</v>
      </c>
      <c r="D51" s="77">
        <f t="shared" ref="D51:E51" si="29">SUM(D52:D54)</f>
        <v>588000</v>
      </c>
      <c r="E51" s="77">
        <f t="shared" si="29"/>
        <v>617400</v>
      </c>
    </row>
    <row r="52" spans="1:5">
      <c r="A52" s="55"/>
      <c r="B52" s="56" t="s">
        <v>395</v>
      </c>
      <c r="C52" s="77"/>
      <c r="D52" s="76">
        <f t="shared" ref="D52:E53" si="30">1.05*C52</f>
        <v>0</v>
      </c>
      <c r="E52" s="76">
        <f t="shared" si="30"/>
        <v>0</v>
      </c>
    </row>
    <row r="53" spans="1:5" ht="28">
      <c r="A53" s="55"/>
      <c r="B53" s="56" t="s">
        <v>396</v>
      </c>
      <c r="C53" s="75">
        <v>560000</v>
      </c>
      <c r="D53" s="76">
        <f t="shared" si="30"/>
        <v>588000</v>
      </c>
      <c r="E53" s="76">
        <f t="shared" si="30"/>
        <v>617400</v>
      </c>
    </row>
    <row r="54" spans="1:5" ht="28">
      <c r="A54" s="55"/>
      <c r="B54" s="53" t="s">
        <v>397</v>
      </c>
      <c r="C54" s="74">
        <f>C55</f>
        <v>0</v>
      </c>
      <c r="D54" s="74">
        <f t="shared" ref="D54:E54" si="31">D55</f>
        <v>0</v>
      </c>
      <c r="E54" s="74">
        <f t="shared" si="31"/>
        <v>0</v>
      </c>
    </row>
    <row r="55" spans="1:5" ht="28">
      <c r="A55" s="55"/>
      <c r="B55" s="56" t="s">
        <v>398</v>
      </c>
      <c r="C55" s="75">
        <v>0</v>
      </c>
      <c r="D55" s="76">
        <f t="shared" ref="D55:E55" si="32">1.05*C55</f>
        <v>0</v>
      </c>
      <c r="E55" s="76">
        <f t="shared" si="32"/>
        <v>0</v>
      </c>
    </row>
    <row r="56" spans="1:5">
      <c r="A56" s="55"/>
      <c r="B56" s="53" t="s">
        <v>236</v>
      </c>
      <c r="C56" s="77">
        <f>SUM(C51+C47+C42+C41+C39+C36+C32+C28+C24+C21+C13+C10+C7)</f>
        <v>41276524</v>
      </c>
      <c r="D56" s="77">
        <f t="shared" ref="D56:E56" si="33">D54+D45+D42+D39+D36+D34+D32+D28+D24+D21+D13+D10+D7+D19+D49+D41+D47+D51</f>
        <v>43508224.199999996</v>
      </c>
      <c r="E56" s="77">
        <f t="shared" si="33"/>
        <v>45683635.410000004</v>
      </c>
    </row>
    <row r="57" spans="1:5">
      <c r="A57" s="58"/>
      <c r="B57" s="53" t="s">
        <v>273</v>
      </c>
      <c r="C57" s="77">
        <f t="shared" ref="C57:E58" si="34">C56</f>
        <v>41276524</v>
      </c>
      <c r="D57" s="77">
        <f t="shared" si="34"/>
        <v>43508224.199999996</v>
      </c>
      <c r="E57" s="77">
        <f t="shared" si="34"/>
        <v>45683635.410000004</v>
      </c>
    </row>
    <row r="58" spans="1:5" ht="42">
      <c r="A58" s="71" t="s">
        <v>399</v>
      </c>
      <c r="B58" s="40" t="s">
        <v>273</v>
      </c>
      <c r="C58" s="77">
        <f t="shared" si="34"/>
        <v>41276524</v>
      </c>
      <c r="D58" s="77">
        <f t="shared" si="34"/>
        <v>43508224.199999996</v>
      </c>
      <c r="E58" s="77">
        <f t="shared" si="34"/>
        <v>45683635.410000004</v>
      </c>
    </row>
    <row r="59" spans="1:5">
      <c r="A59" s="66"/>
      <c r="B59" s="66"/>
      <c r="C59" s="66"/>
      <c r="D59" s="66"/>
      <c r="E59" s="66"/>
    </row>
    <row r="60" spans="1:5">
      <c r="A60" s="760" t="s">
        <v>400</v>
      </c>
      <c r="B60" s="761"/>
      <c r="C60" s="761"/>
      <c r="D60" s="761"/>
      <c r="E60" s="762"/>
    </row>
    <row r="61" spans="1:5">
      <c r="A61" s="751" t="s">
        <v>309</v>
      </c>
      <c r="B61" s="752"/>
      <c r="C61" s="752"/>
      <c r="D61" s="752"/>
      <c r="E61" s="753"/>
    </row>
    <row r="62" spans="1:5">
      <c r="A62" s="751" t="s">
        <v>401</v>
      </c>
      <c r="B62" s="752"/>
      <c r="C62" s="752"/>
      <c r="D62" s="752"/>
      <c r="E62" s="753"/>
    </row>
    <row r="63" spans="1:5">
      <c r="A63" s="40"/>
      <c r="B63" s="40"/>
      <c r="C63" s="754" t="s">
        <v>244</v>
      </c>
      <c r="D63" s="754"/>
      <c r="E63" s="754"/>
    </row>
    <row r="64" spans="1:5" ht="42">
      <c r="A64" s="40" t="s">
        <v>245</v>
      </c>
      <c r="B64" s="40" t="s">
        <v>184</v>
      </c>
      <c r="C64" s="40" t="s">
        <v>402</v>
      </c>
      <c r="D64" s="40" t="s">
        <v>403</v>
      </c>
      <c r="E64" s="40" t="s">
        <v>404</v>
      </c>
    </row>
    <row r="65" spans="1:8">
      <c r="A65" s="39"/>
      <c r="B65" s="40"/>
      <c r="C65" s="40" t="s">
        <v>248</v>
      </c>
      <c r="D65" s="40" t="s">
        <v>248</v>
      </c>
      <c r="E65" s="40" t="s">
        <v>248</v>
      </c>
    </row>
    <row r="66" spans="1:8" ht="42">
      <c r="A66" s="52" t="s">
        <v>383</v>
      </c>
      <c r="B66" s="53" t="s">
        <v>405</v>
      </c>
      <c r="C66" s="78">
        <f>C67</f>
        <v>0</v>
      </c>
      <c r="D66" s="78">
        <f t="shared" ref="D66:E66" si="35">D67</f>
        <v>0</v>
      </c>
      <c r="E66" s="78">
        <f t="shared" si="35"/>
        <v>0</v>
      </c>
    </row>
    <row r="67" spans="1:8">
      <c r="A67" s="55"/>
      <c r="B67" s="56" t="s">
        <v>406</v>
      </c>
      <c r="C67" s="76">
        <f>10000000-10000000</f>
        <v>0</v>
      </c>
      <c r="D67" s="76">
        <f>1.05*C67</f>
        <v>0</v>
      </c>
      <c r="E67" s="76">
        <f>1.05*D67</f>
        <v>0</v>
      </c>
      <c r="F67" s="69">
        <v>10000000</v>
      </c>
    </row>
    <row r="68" spans="1:8">
      <c r="A68" s="55"/>
      <c r="B68" s="53" t="s">
        <v>223</v>
      </c>
      <c r="C68" s="78">
        <f>C70+C69</f>
        <v>9398503.6482932121</v>
      </c>
      <c r="D68" s="78">
        <f t="shared" ref="D68:E68" si="36">D70+D69</f>
        <v>9868428.8307078741</v>
      </c>
      <c r="E68" s="78">
        <f t="shared" si="36"/>
        <v>10361850.272243269</v>
      </c>
    </row>
    <row r="69" spans="1:8">
      <c r="A69" s="55"/>
      <c r="B69" s="53" t="s">
        <v>407</v>
      </c>
      <c r="C69" s="78">
        <f>'Ward based rojects'!F12</f>
        <v>3889112.648293213</v>
      </c>
      <c r="D69" s="78">
        <f>1.05*C69</f>
        <v>4083568.2807078739</v>
      </c>
      <c r="E69" s="78">
        <f>1.05*D69</f>
        <v>4287746.6947432682</v>
      </c>
    </row>
    <row r="70" spans="1:8">
      <c r="A70" s="55"/>
      <c r="B70" s="56" t="s">
        <v>224</v>
      </c>
      <c r="C70" s="76">
        <f>8209390+4395127-4095126-3000000</f>
        <v>5509391</v>
      </c>
      <c r="D70" s="76">
        <f>1.05*C70</f>
        <v>5784860.5499999998</v>
      </c>
      <c r="E70" s="76">
        <f>1.05*D70</f>
        <v>6074103.5774999997</v>
      </c>
      <c r="F70" s="69">
        <v>7095126</v>
      </c>
    </row>
    <row r="71" spans="1:8">
      <c r="A71" s="55"/>
      <c r="B71" s="53" t="s">
        <v>316</v>
      </c>
      <c r="C71" s="77">
        <f>C68+C66</f>
        <v>9398503.6482932121</v>
      </c>
      <c r="D71" s="77">
        <f t="shared" ref="D71:E71" si="37">SUM(D66:D70)</f>
        <v>19736857.661415748</v>
      </c>
      <c r="E71" s="77">
        <f t="shared" si="37"/>
        <v>20723700.544486538</v>
      </c>
    </row>
    <row r="72" spans="1:8">
      <c r="A72" s="58"/>
      <c r="B72" s="40" t="s">
        <v>317</v>
      </c>
      <c r="C72" s="77">
        <f t="shared" ref="C72:E72" si="38">C71</f>
        <v>9398503.6482932121</v>
      </c>
      <c r="D72" s="77">
        <f t="shared" si="38"/>
        <v>19736857.661415748</v>
      </c>
      <c r="E72" s="77">
        <f t="shared" si="38"/>
        <v>20723700.544486538</v>
      </c>
    </row>
    <row r="73" spans="1:8" ht="42">
      <c r="A73" s="40" t="s">
        <v>399</v>
      </c>
      <c r="B73" s="40" t="s">
        <v>317</v>
      </c>
      <c r="C73" s="77">
        <f>C72</f>
        <v>9398503.6482932121</v>
      </c>
      <c r="D73" s="77">
        <f>D72</f>
        <v>19736857.661415748</v>
      </c>
      <c r="E73" s="77">
        <f>E72</f>
        <v>20723700.544486538</v>
      </c>
    </row>
    <row r="74" spans="1:8" ht="42">
      <c r="A74" s="66"/>
      <c r="B74" s="40" t="s">
        <v>408</v>
      </c>
      <c r="C74" s="74">
        <f>C73+C58</f>
        <v>50675027.648293212</v>
      </c>
      <c r="D74" s="74">
        <f>D73+D58</f>
        <v>63245081.861415744</v>
      </c>
      <c r="E74" s="74">
        <f>E73+E58</f>
        <v>66407335.954486541</v>
      </c>
    </row>
    <row r="75" spans="1:8">
      <c r="A75" s="72"/>
      <c r="B75" s="73"/>
      <c r="C75" s="79"/>
      <c r="D75" s="79"/>
      <c r="E75" s="80"/>
    </row>
    <row r="78" spans="1:8">
      <c r="A78" s="34"/>
      <c r="B78" s="35"/>
      <c r="C78" s="741" t="s">
        <v>379</v>
      </c>
      <c r="D78" s="742"/>
      <c r="E78" s="743"/>
    </row>
    <row r="79" spans="1:8" ht="42">
      <c r="A79" s="87" t="s">
        <v>245</v>
      </c>
      <c r="B79" s="87" t="s">
        <v>184</v>
      </c>
      <c r="C79" s="88" t="s">
        <v>380</v>
      </c>
      <c r="D79" s="89" t="s">
        <v>381</v>
      </c>
      <c r="E79" s="89" t="s">
        <v>382</v>
      </c>
    </row>
    <row r="80" spans="1:8">
      <c r="A80" s="39"/>
      <c r="B80" s="40"/>
      <c r="C80" s="38" t="s">
        <v>248</v>
      </c>
      <c r="D80" s="61" t="s">
        <v>248</v>
      </c>
      <c r="E80" s="61" t="s">
        <v>248</v>
      </c>
      <c r="H80" s="69" t="s">
        <v>786</v>
      </c>
    </row>
    <row r="81" spans="1:5" ht="42">
      <c r="A81" s="41" t="s">
        <v>546</v>
      </c>
      <c r="B81" s="42" t="s">
        <v>189</v>
      </c>
      <c r="C81" s="43">
        <f>C82+C83</f>
        <v>921000</v>
      </c>
      <c r="D81" s="43">
        <f t="shared" ref="D81:E81" si="39">D82+D83</f>
        <v>967050</v>
      </c>
      <c r="E81" s="43">
        <f t="shared" si="39"/>
        <v>1015402.5</v>
      </c>
    </row>
    <row r="82" spans="1:5">
      <c r="A82" s="44"/>
      <c r="B82" s="45" t="s">
        <v>190</v>
      </c>
      <c r="C82" s="46">
        <v>600000</v>
      </c>
      <c r="D82" s="47">
        <f t="shared" ref="D82:E83" si="40">1.05*C82</f>
        <v>630000</v>
      </c>
      <c r="E82" s="47">
        <f t="shared" si="40"/>
        <v>661500</v>
      </c>
    </row>
    <row r="83" spans="1:5">
      <c r="A83" s="44"/>
      <c r="B83" s="45" t="s">
        <v>250</v>
      </c>
      <c r="C83" s="46">
        <v>321000</v>
      </c>
      <c r="D83" s="47">
        <f t="shared" si="40"/>
        <v>337050</v>
      </c>
      <c r="E83" s="47">
        <f t="shared" si="40"/>
        <v>353902.5</v>
      </c>
    </row>
    <row r="84" spans="1:5">
      <c r="A84" s="44"/>
      <c r="B84" s="42" t="s">
        <v>251</v>
      </c>
      <c r="C84" s="43">
        <f>C85+C86</f>
        <v>7610</v>
      </c>
      <c r="D84" s="43">
        <f t="shared" ref="D84:E84" si="41">D85+D86</f>
        <v>7990.5</v>
      </c>
      <c r="E84" s="43">
        <f t="shared" si="41"/>
        <v>8390.0249999999996</v>
      </c>
    </row>
    <row r="85" spans="1:5" ht="28">
      <c r="A85" s="44"/>
      <c r="B85" s="45" t="s">
        <v>278</v>
      </c>
      <c r="C85" s="46">
        <v>0</v>
      </c>
      <c r="D85" s="47">
        <f t="shared" ref="D85:E86" si="42">1.05*C85</f>
        <v>0</v>
      </c>
      <c r="E85" s="47">
        <f t="shared" si="42"/>
        <v>0</v>
      </c>
    </row>
    <row r="86" spans="1:5">
      <c r="A86" s="44"/>
      <c r="B86" s="45" t="s">
        <v>252</v>
      </c>
      <c r="C86" s="46">
        <v>7610</v>
      </c>
      <c r="D86" s="47">
        <f t="shared" si="42"/>
        <v>7990.5</v>
      </c>
      <c r="E86" s="47">
        <f t="shared" si="42"/>
        <v>8390.0249999999996</v>
      </c>
    </row>
    <row r="87" spans="1:5" ht="28">
      <c r="A87" s="44"/>
      <c r="B87" s="42" t="s">
        <v>191</v>
      </c>
      <c r="C87" s="43">
        <f>C88+C89+C90+C91+C92</f>
        <v>16310830</v>
      </c>
      <c r="D87" s="43">
        <f t="shared" ref="D87:E87" si="43">D88+D89+D90+D91+D92</f>
        <v>17126371.5</v>
      </c>
      <c r="E87" s="43">
        <f t="shared" si="43"/>
        <v>17982690.075000003</v>
      </c>
    </row>
    <row r="88" spans="1:5" ht="28">
      <c r="A88" s="44"/>
      <c r="B88" s="45" t="s">
        <v>192</v>
      </c>
      <c r="C88" s="46">
        <v>1330000</v>
      </c>
      <c r="D88" s="47">
        <f t="shared" ref="D88:E92" si="44">1.05*C88</f>
        <v>1396500</v>
      </c>
      <c r="E88" s="47">
        <f t="shared" si="44"/>
        <v>1466325</v>
      </c>
    </row>
    <row r="89" spans="1:5">
      <c r="A89" s="44"/>
      <c r="B89" s="45" t="s">
        <v>193</v>
      </c>
      <c r="C89" s="46">
        <v>740000</v>
      </c>
      <c r="D89" s="47">
        <f t="shared" si="44"/>
        <v>777000</v>
      </c>
      <c r="E89" s="47">
        <f t="shared" si="44"/>
        <v>815850</v>
      </c>
    </row>
    <row r="90" spans="1:5">
      <c r="A90" s="44"/>
      <c r="B90" s="45" t="s">
        <v>194</v>
      </c>
      <c r="C90" s="46">
        <v>47000</v>
      </c>
      <c r="D90" s="47">
        <f t="shared" si="44"/>
        <v>49350</v>
      </c>
      <c r="E90" s="47">
        <f t="shared" si="44"/>
        <v>51817.5</v>
      </c>
    </row>
    <row r="91" spans="1:5">
      <c r="A91" s="44"/>
      <c r="B91" s="45" t="s">
        <v>254</v>
      </c>
      <c r="C91" s="46">
        <v>13193830</v>
      </c>
      <c r="D91" s="47">
        <f t="shared" si="44"/>
        <v>13853521.5</v>
      </c>
      <c r="E91" s="47">
        <f t="shared" si="44"/>
        <v>14546197.575000001</v>
      </c>
    </row>
    <row r="92" spans="1:5">
      <c r="A92" s="44"/>
      <c r="B92" s="45" t="s">
        <v>232</v>
      </c>
      <c r="C92" s="46">
        <v>1000000</v>
      </c>
      <c r="D92" s="47">
        <f t="shared" si="44"/>
        <v>1050000</v>
      </c>
      <c r="E92" s="47">
        <f t="shared" si="44"/>
        <v>1102500</v>
      </c>
    </row>
    <row r="93" spans="1:5" ht="28">
      <c r="A93" s="44"/>
      <c r="B93" s="42" t="s">
        <v>195</v>
      </c>
      <c r="C93" s="43">
        <f>C94+C95</f>
        <v>150000</v>
      </c>
      <c r="D93" s="43">
        <f t="shared" ref="D93:E93" si="45">D94+D95</f>
        <v>157500</v>
      </c>
      <c r="E93" s="43">
        <f t="shared" si="45"/>
        <v>165375</v>
      </c>
    </row>
    <row r="94" spans="1:5">
      <c r="A94" s="44"/>
      <c r="B94" s="45" t="s">
        <v>547</v>
      </c>
      <c r="C94" s="46">
        <v>150000</v>
      </c>
      <c r="D94" s="47">
        <f t="shared" ref="D94:E95" si="46">1.05*C94</f>
        <v>157500</v>
      </c>
      <c r="E94" s="47">
        <f t="shared" si="46"/>
        <v>165375</v>
      </c>
    </row>
    <row r="95" spans="1:5" ht="28">
      <c r="A95" s="44"/>
      <c r="B95" s="45" t="s">
        <v>196</v>
      </c>
      <c r="C95" s="46">
        <v>0</v>
      </c>
      <c r="D95" s="47">
        <f t="shared" si="46"/>
        <v>0</v>
      </c>
      <c r="E95" s="47">
        <f t="shared" si="46"/>
        <v>0</v>
      </c>
    </row>
    <row r="96" spans="1:5">
      <c r="A96" s="44"/>
      <c r="B96" s="42" t="s">
        <v>258</v>
      </c>
      <c r="C96" s="43">
        <f>C98+C99</f>
        <v>2712000</v>
      </c>
      <c r="D96" s="43">
        <f t="shared" ref="D96:E96" si="47">D98+D99</f>
        <v>2847600</v>
      </c>
      <c r="E96" s="43">
        <f t="shared" si="47"/>
        <v>2989980</v>
      </c>
    </row>
    <row r="97" spans="1:5">
      <c r="A97" s="44"/>
      <c r="B97" s="62" t="s">
        <v>548</v>
      </c>
      <c r="C97" s="47">
        <v>802500</v>
      </c>
      <c r="D97" s="47">
        <f t="shared" ref="D97:E99" si="48">1.05*C97</f>
        <v>842625</v>
      </c>
      <c r="E97" s="47">
        <f t="shared" si="48"/>
        <v>884756.25</v>
      </c>
    </row>
    <row r="98" spans="1:5">
      <c r="A98" s="44"/>
      <c r="B98" s="45" t="s">
        <v>260</v>
      </c>
      <c r="C98" s="46">
        <v>1014500</v>
      </c>
      <c r="D98" s="47">
        <f t="shared" si="48"/>
        <v>1065225</v>
      </c>
      <c r="E98" s="47">
        <f t="shared" si="48"/>
        <v>1118486.25</v>
      </c>
    </row>
    <row r="99" spans="1:5">
      <c r="A99" s="44"/>
      <c r="B99" s="45" t="s">
        <v>261</v>
      </c>
      <c r="C99" s="46">
        <v>1697500</v>
      </c>
      <c r="D99" s="47">
        <f t="shared" si="48"/>
        <v>1782375</v>
      </c>
      <c r="E99" s="47">
        <f t="shared" si="48"/>
        <v>1871493.75</v>
      </c>
    </row>
    <row r="100" spans="1:5">
      <c r="A100" s="44"/>
      <c r="B100" s="42" t="s">
        <v>200</v>
      </c>
      <c r="C100" s="43">
        <f>C101+C102+C103</f>
        <v>6339084</v>
      </c>
      <c r="D100" s="43">
        <f t="shared" ref="D100:E100" si="49">D101+D102+D103</f>
        <v>6656038.2000000002</v>
      </c>
      <c r="E100" s="43">
        <f t="shared" si="49"/>
        <v>6988840.1100000003</v>
      </c>
    </row>
    <row r="101" spans="1:5" ht="28">
      <c r="A101" s="44"/>
      <c r="B101" s="45" t="s">
        <v>201</v>
      </c>
      <c r="C101" s="46">
        <v>3280354</v>
      </c>
      <c r="D101" s="47">
        <f t="shared" ref="D101:E103" si="50">1.05*C101</f>
        <v>3444371.7</v>
      </c>
      <c r="E101" s="47">
        <f t="shared" si="50"/>
        <v>3616590.2850000001</v>
      </c>
    </row>
    <row r="102" spans="1:5" ht="28">
      <c r="A102" s="44"/>
      <c r="B102" s="45" t="s">
        <v>202</v>
      </c>
      <c r="C102" s="46">
        <v>1158850</v>
      </c>
      <c r="D102" s="47">
        <f t="shared" si="50"/>
        <v>1216792.5</v>
      </c>
      <c r="E102" s="47">
        <f t="shared" si="50"/>
        <v>1277632.125</v>
      </c>
    </row>
    <row r="103" spans="1:5">
      <c r="A103" s="44"/>
      <c r="B103" s="45" t="s">
        <v>388</v>
      </c>
      <c r="C103" s="46">
        <v>1899880</v>
      </c>
      <c r="D103" s="47">
        <f t="shared" si="50"/>
        <v>1994874</v>
      </c>
      <c r="E103" s="47">
        <f t="shared" si="50"/>
        <v>2094617.7000000002</v>
      </c>
    </row>
    <row r="104" spans="1:5">
      <c r="A104" s="44"/>
      <c r="B104" s="42" t="s">
        <v>203</v>
      </c>
      <c r="C104" s="43">
        <f>C105</f>
        <v>400000</v>
      </c>
      <c r="D104" s="43">
        <f t="shared" ref="D104:E104" si="51">D105</f>
        <v>420000</v>
      </c>
      <c r="E104" s="43">
        <f t="shared" si="51"/>
        <v>441000</v>
      </c>
    </row>
    <row r="105" spans="1:5">
      <c r="A105" s="44"/>
      <c r="B105" s="45" t="s">
        <v>262</v>
      </c>
      <c r="C105" s="46">
        <v>400000</v>
      </c>
      <c r="D105" s="47">
        <f t="shared" ref="D105:E105" si="52">1.05*C105</f>
        <v>420000</v>
      </c>
      <c r="E105" s="47">
        <f t="shared" si="52"/>
        <v>441000</v>
      </c>
    </row>
    <row r="106" spans="1:5">
      <c r="A106" s="44"/>
      <c r="B106" s="42" t="s">
        <v>290</v>
      </c>
      <c r="C106" s="48">
        <f>SUM(C107)</f>
        <v>1500000</v>
      </c>
      <c r="D106" s="48">
        <f t="shared" ref="D106:E106" si="53">SUM(D107)</f>
        <v>1575000</v>
      </c>
      <c r="E106" s="48">
        <f t="shared" si="53"/>
        <v>1653750</v>
      </c>
    </row>
    <row r="107" spans="1:5">
      <c r="A107" s="44"/>
      <c r="B107" s="45" t="s">
        <v>549</v>
      </c>
      <c r="C107" s="46">
        <v>1500000</v>
      </c>
      <c r="D107" s="47">
        <f t="shared" ref="D107:E107" si="54">1.05*C107</f>
        <v>1575000</v>
      </c>
      <c r="E107" s="47">
        <f t="shared" si="54"/>
        <v>1653750</v>
      </c>
    </row>
    <row r="108" spans="1:5" ht="28">
      <c r="A108" s="44"/>
      <c r="B108" s="42" t="s">
        <v>205</v>
      </c>
      <c r="C108" s="43">
        <f>C109+C110</f>
        <v>1010765</v>
      </c>
      <c r="D108" s="43">
        <f t="shared" ref="D108:E108" si="55">D109+D110</f>
        <v>1061303.25</v>
      </c>
      <c r="E108" s="43">
        <f t="shared" si="55"/>
        <v>1114368.4125000001</v>
      </c>
    </row>
    <row r="109" spans="1:5" ht="28">
      <c r="A109" s="44"/>
      <c r="B109" s="45" t="s">
        <v>206</v>
      </c>
      <c r="C109" s="46">
        <v>738765</v>
      </c>
      <c r="D109" s="47">
        <f t="shared" ref="D109:E110" si="56">1.05*C109</f>
        <v>775703.25</v>
      </c>
      <c r="E109" s="47">
        <f t="shared" si="56"/>
        <v>814488.41249999998</v>
      </c>
    </row>
    <row r="110" spans="1:5" ht="28">
      <c r="A110" s="44"/>
      <c r="B110" s="45" t="s">
        <v>207</v>
      </c>
      <c r="C110" s="46">
        <v>272000</v>
      </c>
      <c r="D110" s="47">
        <f t="shared" si="56"/>
        <v>285600</v>
      </c>
      <c r="E110" s="47">
        <f t="shared" si="56"/>
        <v>299880</v>
      </c>
    </row>
    <row r="111" spans="1:5">
      <c r="A111" s="44"/>
      <c r="B111" s="42" t="s">
        <v>208</v>
      </c>
      <c r="C111" s="43">
        <f>C112</f>
        <v>655400</v>
      </c>
      <c r="D111" s="43">
        <f t="shared" ref="D111:E111" si="57">D112</f>
        <v>688170</v>
      </c>
      <c r="E111" s="43">
        <f t="shared" si="57"/>
        <v>722578.5</v>
      </c>
    </row>
    <row r="112" spans="1:5" ht="28">
      <c r="A112" s="44"/>
      <c r="B112" s="45" t="s">
        <v>209</v>
      </c>
      <c r="C112" s="46">
        <v>655400</v>
      </c>
      <c r="D112" s="47">
        <f t="shared" ref="D112:E112" si="58">1.05*C112</f>
        <v>688170</v>
      </c>
      <c r="E112" s="47">
        <f t="shared" si="58"/>
        <v>722578.5</v>
      </c>
    </row>
    <row r="113" spans="1:6">
      <c r="A113" s="44"/>
      <c r="B113" s="42" t="s">
        <v>210</v>
      </c>
      <c r="C113" s="43">
        <f>C114+C115</f>
        <v>295700</v>
      </c>
      <c r="D113" s="43">
        <f t="shared" ref="D113:E113" si="59">D114+D115</f>
        <v>310485</v>
      </c>
      <c r="E113" s="43">
        <f t="shared" si="59"/>
        <v>326009.25</v>
      </c>
    </row>
    <row r="114" spans="1:6" ht="28">
      <c r="A114" s="44"/>
      <c r="B114" s="45" t="s">
        <v>211</v>
      </c>
      <c r="C114" s="46">
        <v>295700</v>
      </c>
      <c r="D114" s="47">
        <f t="shared" ref="D114:E115" si="60">1.05*C114</f>
        <v>310485</v>
      </c>
      <c r="E114" s="47">
        <f t="shared" si="60"/>
        <v>326009.25</v>
      </c>
    </row>
    <row r="115" spans="1:6">
      <c r="A115" s="44"/>
      <c r="B115" s="45" t="s">
        <v>265</v>
      </c>
      <c r="C115" s="63">
        <v>0</v>
      </c>
      <c r="D115" s="47">
        <f t="shared" si="60"/>
        <v>0</v>
      </c>
      <c r="E115" s="47">
        <f t="shared" si="60"/>
        <v>0</v>
      </c>
    </row>
    <row r="116" spans="1:6" ht="28">
      <c r="A116" s="44"/>
      <c r="B116" s="42" t="s">
        <v>212</v>
      </c>
      <c r="C116" s="43">
        <f>C117</f>
        <v>157760</v>
      </c>
      <c r="D116" s="43">
        <f t="shared" ref="D116:E116" si="61">D117</f>
        <v>165648</v>
      </c>
      <c r="E116" s="43">
        <f t="shared" si="61"/>
        <v>173930.4</v>
      </c>
    </row>
    <row r="117" spans="1:6">
      <c r="A117" s="44"/>
      <c r="B117" s="45" t="s">
        <v>213</v>
      </c>
      <c r="C117" s="46">
        <v>157760</v>
      </c>
      <c r="D117" s="47">
        <f t="shared" ref="D117:E117" si="62">1.05*C117</f>
        <v>165648</v>
      </c>
      <c r="E117" s="47">
        <f t="shared" si="62"/>
        <v>173930.4</v>
      </c>
    </row>
    <row r="118" spans="1:6">
      <c r="A118" s="44"/>
      <c r="B118" s="42" t="s">
        <v>390</v>
      </c>
      <c r="C118" s="48">
        <f>C119</f>
        <v>303000</v>
      </c>
      <c r="D118" s="48">
        <f t="shared" ref="D118:E118" si="63">D119</f>
        <v>318150</v>
      </c>
      <c r="E118" s="48">
        <f t="shared" si="63"/>
        <v>334057.5</v>
      </c>
    </row>
    <row r="119" spans="1:6" ht="28">
      <c r="A119" s="44"/>
      <c r="B119" s="45" t="s">
        <v>550</v>
      </c>
      <c r="C119" s="46">
        <f>223000+80000</f>
        <v>303000</v>
      </c>
      <c r="D119" s="47">
        <f t="shared" ref="D119:E119" si="64">1.05*C119</f>
        <v>318150</v>
      </c>
      <c r="E119" s="47">
        <f t="shared" si="64"/>
        <v>334057.5</v>
      </c>
    </row>
    <row r="120" spans="1:6">
      <c r="A120" s="44"/>
      <c r="B120" s="42" t="s">
        <v>551</v>
      </c>
      <c r="C120" s="43">
        <v>4169092</v>
      </c>
      <c r="D120" s="43">
        <f>1.05*C120</f>
        <v>4377546.6000000006</v>
      </c>
      <c r="E120" s="43">
        <f>1.05*D120</f>
        <v>4596423.9300000006</v>
      </c>
    </row>
    <row r="121" spans="1:6" ht="28">
      <c r="A121" s="44"/>
      <c r="B121" s="42" t="s">
        <v>405</v>
      </c>
      <c r="C121" s="43">
        <f>C122</f>
        <v>2000000</v>
      </c>
      <c r="D121" s="43">
        <f t="shared" ref="D121:E121" si="65">D122</f>
        <v>2100000</v>
      </c>
      <c r="E121" s="43">
        <f t="shared" si="65"/>
        <v>2205000</v>
      </c>
    </row>
    <row r="122" spans="1:6">
      <c r="A122" s="44"/>
      <c r="B122" s="45" t="s">
        <v>406</v>
      </c>
      <c r="C122" s="46">
        <v>2000000</v>
      </c>
      <c r="D122" s="47">
        <f t="shared" ref="D122:E122" si="66">1.05*C122</f>
        <v>2100000</v>
      </c>
      <c r="E122" s="47">
        <f t="shared" si="66"/>
        <v>2205000</v>
      </c>
      <c r="F122" s="476">
        <v>8000000</v>
      </c>
    </row>
    <row r="123" spans="1:6" ht="28">
      <c r="A123" s="44"/>
      <c r="B123" s="42" t="s">
        <v>394</v>
      </c>
      <c r="C123" s="48">
        <f>SUM(C124:C126)</f>
        <v>560000</v>
      </c>
      <c r="D123" s="48">
        <f t="shared" ref="D123:E123" si="67">SUM(D124:D126)</f>
        <v>588000</v>
      </c>
      <c r="E123" s="48">
        <f t="shared" si="67"/>
        <v>617400</v>
      </c>
      <c r="F123" s="439"/>
    </row>
    <row r="124" spans="1:6">
      <c r="A124" s="44"/>
      <c r="B124" s="45" t="s">
        <v>395</v>
      </c>
      <c r="C124" s="48"/>
      <c r="D124" s="47">
        <f t="shared" ref="D124:E126" si="68">1.05*C124</f>
        <v>0</v>
      </c>
      <c r="E124" s="47">
        <f t="shared" si="68"/>
        <v>0</v>
      </c>
      <c r="F124" s="440"/>
    </row>
    <row r="125" spans="1:6" ht="28">
      <c r="A125" s="44"/>
      <c r="B125" s="45" t="s">
        <v>396</v>
      </c>
      <c r="C125" s="46">
        <v>560000</v>
      </c>
      <c r="D125" s="47">
        <f t="shared" si="68"/>
        <v>588000</v>
      </c>
      <c r="E125" s="47">
        <f t="shared" si="68"/>
        <v>617400</v>
      </c>
    </row>
    <row r="126" spans="1:6" ht="28">
      <c r="A126" s="44"/>
      <c r="B126" s="45" t="s">
        <v>398</v>
      </c>
      <c r="C126" s="46"/>
      <c r="D126" s="47">
        <f t="shared" si="68"/>
        <v>0</v>
      </c>
      <c r="E126" s="47">
        <f t="shared" si="68"/>
        <v>0</v>
      </c>
    </row>
    <row r="127" spans="1:6">
      <c r="A127" s="44"/>
      <c r="B127" s="42" t="s">
        <v>236</v>
      </c>
      <c r="C127" s="48">
        <f>C123+C121+C118+C116+C113+C111+C108+C106+C104+C100+C96+C93+C87+C84+C81+C120</f>
        <v>37492241</v>
      </c>
      <c r="D127" s="48">
        <f t="shared" ref="D127:E127" si="69">D123+D121+D118+D116+D113+D111+D108+D106+D104+D100+D96+D93+D87+D84+D81+D120</f>
        <v>39366853.050000004</v>
      </c>
      <c r="E127" s="48">
        <f t="shared" si="69"/>
        <v>41335195.702500001</v>
      </c>
      <c r="F127" s="439"/>
    </row>
    <row r="128" spans="1:6">
      <c r="A128" s="44"/>
      <c r="B128" s="42" t="s">
        <v>273</v>
      </c>
      <c r="C128" s="48">
        <f t="shared" ref="C128:E129" si="70">C127</f>
        <v>37492241</v>
      </c>
      <c r="D128" s="48">
        <f t="shared" si="70"/>
        <v>39366853.050000004</v>
      </c>
      <c r="E128" s="48">
        <f t="shared" si="70"/>
        <v>41335195.702500001</v>
      </c>
    </row>
    <row r="129" spans="1:6" ht="42">
      <c r="A129" s="49" t="s">
        <v>552</v>
      </c>
      <c r="B129" s="42" t="s">
        <v>273</v>
      </c>
      <c r="C129" s="48">
        <f t="shared" si="70"/>
        <v>37492241</v>
      </c>
      <c r="D129" s="48">
        <f t="shared" si="70"/>
        <v>39366853.050000004</v>
      </c>
      <c r="E129" s="48">
        <f t="shared" si="70"/>
        <v>41335195.702500001</v>
      </c>
    </row>
    <row r="130" spans="1:6">
      <c r="A130" s="64"/>
      <c r="B130" s="64"/>
      <c r="C130" s="64"/>
      <c r="D130" s="64"/>
      <c r="E130" s="64"/>
    </row>
    <row r="131" spans="1:6">
      <c r="A131" s="744" t="s">
        <v>553</v>
      </c>
      <c r="B131" s="745"/>
      <c r="C131" s="745"/>
      <c r="D131" s="745"/>
      <c r="E131" s="746"/>
    </row>
    <row r="132" spans="1:6">
      <c r="A132" s="747" t="s">
        <v>309</v>
      </c>
      <c r="B132" s="748"/>
      <c r="C132" s="748"/>
      <c r="D132" s="748"/>
      <c r="E132" s="749"/>
    </row>
    <row r="133" spans="1:6">
      <c r="A133" s="747" t="s">
        <v>554</v>
      </c>
      <c r="B133" s="748"/>
      <c r="C133" s="748"/>
      <c r="D133" s="748"/>
      <c r="E133" s="749"/>
    </row>
    <row r="134" spans="1:6">
      <c r="A134" s="50"/>
      <c r="B134" s="50"/>
      <c r="C134" s="750" t="s">
        <v>244</v>
      </c>
      <c r="D134" s="750"/>
      <c r="E134" s="750"/>
    </row>
    <row r="135" spans="1:6" ht="42">
      <c r="A135" s="36" t="s">
        <v>245</v>
      </c>
      <c r="B135" s="36" t="s">
        <v>184</v>
      </c>
      <c r="C135" s="37" t="s">
        <v>402</v>
      </c>
      <c r="D135" s="61" t="s">
        <v>403</v>
      </c>
      <c r="E135" s="61" t="s">
        <v>404</v>
      </c>
    </row>
    <row r="136" spans="1:6">
      <c r="A136" s="40"/>
      <c r="B136" s="40"/>
      <c r="C136" s="38" t="s">
        <v>248</v>
      </c>
      <c r="D136" s="61" t="s">
        <v>248</v>
      </c>
      <c r="E136" s="61" t="s">
        <v>248</v>
      </c>
    </row>
    <row r="137" spans="1:6" ht="42">
      <c r="A137" s="40" t="s">
        <v>546</v>
      </c>
      <c r="B137" s="40" t="s">
        <v>223</v>
      </c>
      <c r="C137" s="65">
        <f>C139+C140+C138</f>
        <v>28235369</v>
      </c>
      <c r="D137" s="54">
        <f t="shared" ref="D137:E137" si="71">D139+D140+D138</f>
        <v>29647137.450000003</v>
      </c>
      <c r="E137" s="54">
        <f t="shared" si="71"/>
        <v>31129494.322500005</v>
      </c>
    </row>
    <row r="138" spans="1:6" ht="28">
      <c r="A138" s="66"/>
      <c r="B138" s="66" t="s">
        <v>1030</v>
      </c>
      <c r="C138" s="54">
        <v>27015369</v>
      </c>
      <c r="D138" s="54">
        <f>1.05*C138</f>
        <v>28366137.450000003</v>
      </c>
      <c r="E138" s="54">
        <f>1.05*D138</f>
        <v>29784444.322500005</v>
      </c>
    </row>
    <row r="139" spans="1:6">
      <c r="A139" s="66"/>
      <c r="B139" s="66" t="s">
        <v>314</v>
      </c>
      <c r="C139" s="54">
        <f>-3780000+5000000</f>
        <v>1220000</v>
      </c>
      <c r="D139" s="54">
        <f t="shared" ref="D139:E140" si="72">1.05*C139</f>
        <v>1281000</v>
      </c>
      <c r="E139" s="54">
        <f t="shared" si="72"/>
        <v>1345050</v>
      </c>
      <c r="F139" s="475">
        <v>3780000</v>
      </c>
    </row>
    <row r="140" spans="1:6" ht="28">
      <c r="A140" s="66"/>
      <c r="B140" s="66" t="s">
        <v>555</v>
      </c>
      <c r="C140" s="54"/>
      <c r="D140" s="54">
        <f t="shared" si="72"/>
        <v>0</v>
      </c>
      <c r="E140" s="54">
        <f t="shared" si="72"/>
        <v>0</v>
      </c>
    </row>
    <row r="141" spans="1:6">
      <c r="A141" s="66"/>
      <c r="B141" s="59" t="s">
        <v>316</v>
      </c>
      <c r="C141" s="57">
        <f>C137</f>
        <v>28235369</v>
      </c>
      <c r="D141" s="67">
        <f>D137</f>
        <v>29647137.450000003</v>
      </c>
      <c r="E141" s="67">
        <f>E137</f>
        <v>31129494.322500005</v>
      </c>
    </row>
    <row r="142" spans="1:6">
      <c r="A142" s="66"/>
      <c r="B142" s="59" t="s">
        <v>317</v>
      </c>
      <c r="C142" s="57">
        <f t="shared" ref="C142:E143" si="73">C141</f>
        <v>28235369</v>
      </c>
      <c r="D142" s="67">
        <f t="shared" si="73"/>
        <v>29647137.450000003</v>
      </c>
      <c r="E142" s="67">
        <f t="shared" si="73"/>
        <v>31129494.322500005</v>
      </c>
    </row>
    <row r="143" spans="1:6" ht="42">
      <c r="A143" s="40" t="s">
        <v>552</v>
      </c>
      <c r="B143" s="59" t="s">
        <v>317</v>
      </c>
      <c r="C143" s="57">
        <f t="shared" si="73"/>
        <v>28235369</v>
      </c>
      <c r="D143" s="67">
        <f t="shared" si="73"/>
        <v>29647137.450000003</v>
      </c>
      <c r="E143" s="67">
        <f t="shared" si="73"/>
        <v>31129494.322500005</v>
      </c>
    </row>
    <row r="144" spans="1:6" ht="42">
      <c r="A144" s="51"/>
      <c r="B144" s="60" t="s">
        <v>556</v>
      </c>
      <c r="C144" s="43">
        <f>C143+C129</f>
        <v>65727610</v>
      </c>
      <c r="D144" s="47">
        <f t="shared" ref="D144:E144" si="74">D143+D129</f>
        <v>69013990.5</v>
      </c>
      <c r="E144" s="47">
        <f t="shared" si="74"/>
        <v>72464690.025000006</v>
      </c>
    </row>
  </sheetData>
  <mergeCells count="13">
    <mergeCell ref="A62:E62"/>
    <mergeCell ref="C63:E63"/>
    <mergeCell ref="A1:E1"/>
    <mergeCell ref="A2:E2"/>
    <mergeCell ref="A3:E3"/>
    <mergeCell ref="C4:E4"/>
    <mergeCell ref="A60:E60"/>
    <mergeCell ref="A61:E61"/>
    <mergeCell ref="C78:E78"/>
    <mergeCell ref="A131:E131"/>
    <mergeCell ref="A132:E132"/>
    <mergeCell ref="A133:E133"/>
    <mergeCell ref="C134:E134"/>
  </mergeCells>
  <pageMargins left="0.7" right="0.7" top="0.75" bottom="0.75" header="0.3" footer="0.3"/>
  <pageSetup scale="88" fitToHeight="0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134" workbookViewId="0">
      <selection activeCell="F96" sqref="F96"/>
    </sheetView>
  </sheetViews>
  <sheetFormatPr defaultColWidth="8.7265625" defaultRowHeight="14"/>
  <cols>
    <col min="1" max="1" width="51.453125" style="343" customWidth="1"/>
    <col min="2" max="2" width="19.08984375" style="343" customWidth="1"/>
    <col min="3" max="3" width="18.6328125" style="343" customWidth="1"/>
    <col min="4" max="4" width="17.81640625" style="343" customWidth="1"/>
    <col min="5" max="5" width="10" style="343" bestFit="1" customWidth="1"/>
    <col min="6" max="16384" width="8.7265625" style="343"/>
  </cols>
  <sheetData>
    <row r="1" spans="1:5" ht="62">
      <c r="A1" s="341" t="s">
        <v>792</v>
      </c>
      <c r="B1" s="341" t="s">
        <v>787</v>
      </c>
      <c r="C1" s="342" t="s">
        <v>788</v>
      </c>
      <c r="D1" s="342" t="s">
        <v>789</v>
      </c>
    </row>
    <row r="2" spans="1:5" s="345" customFormat="1" ht="15.5">
      <c r="A2" s="344" t="s">
        <v>29</v>
      </c>
      <c r="B2" s="344">
        <f>B3+B4</f>
        <v>0</v>
      </c>
      <c r="C2" s="344">
        <f t="shared" ref="C2:D65" si="0">1.05*B2</f>
        <v>0</v>
      </c>
      <c r="D2" s="344">
        <f t="shared" si="0"/>
        <v>0</v>
      </c>
    </row>
    <row r="3" spans="1:5" s="345" customFormat="1" ht="15.5">
      <c r="A3" s="346" t="s">
        <v>30</v>
      </c>
      <c r="B3" s="346"/>
      <c r="C3" s="347">
        <f t="shared" si="0"/>
        <v>0</v>
      </c>
      <c r="D3" s="347">
        <f t="shared" si="0"/>
        <v>0</v>
      </c>
    </row>
    <row r="4" spans="1:5" s="345" customFormat="1" ht="15.5">
      <c r="A4" s="346" t="s">
        <v>31</v>
      </c>
      <c r="B4" s="346"/>
      <c r="C4" s="347">
        <f t="shared" si="0"/>
        <v>0</v>
      </c>
      <c r="D4" s="347">
        <f t="shared" si="0"/>
        <v>0</v>
      </c>
    </row>
    <row r="5" spans="1:5" s="345" customFormat="1" ht="15.5">
      <c r="A5" s="344" t="s">
        <v>32</v>
      </c>
      <c r="B5" s="344">
        <f>B6+B7</f>
        <v>1200000</v>
      </c>
      <c r="C5" s="344">
        <f t="shared" si="0"/>
        <v>1260000</v>
      </c>
      <c r="D5" s="344">
        <f t="shared" si="0"/>
        <v>1323000</v>
      </c>
    </row>
    <row r="6" spans="1:5" s="345" customFormat="1" ht="15.5">
      <c r="A6" s="346" t="s">
        <v>698</v>
      </c>
      <c r="B6" s="346">
        <v>1200000</v>
      </c>
      <c r="C6" s="347">
        <f t="shared" si="0"/>
        <v>1260000</v>
      </c>
      <c r="D6" s="347">
        <f t="shared" si="0"/>
        <v>1323000</v>
      </c>
    </row>
    <row r="7" spans="1:5" s="345" customFormat="1" ht="15.5">
      <c r="A7" s="346" t="s">
        <v>793</v>
      </c>
      <c r="B7" s="346"/>
      <c r="C7" s="347">
        <f t="shared" si="0"/>
        <v>0</v>
      </c>
      <c r="D7" s="347">
        <f t="shared" si="0"/>
        <v>0</v>
      </c>
    </row>
    <row r="8" spans="1:5" s="345" customFormat="1" ht="15.5">
      <c r="A8" s="344" t="s">
        <v>36</v>
      </c>
      <c r="B8" s="344">
        <f>B9+B10+B11+B12+B13</f>
        <v>25000000</v>
      </c>
      <c r="C8" s="344">
        <f t="shared" si="0"/>
        <v>26250000</v>
      </c>
      <c r="D8" s="344">
        <f t="shared" si="0"/>
        <v>27562500</v>
      </c>
    </row>
    <row r="9" spans="1:5" s="345" customFormat="1" ht="15.5">
      <c r="A9" s="346" t="s">
        <v>699</v>
      </c>
      <c r="B9" s="346">
        <f>-5000000+10000000</f>
        <v>5000000</v>
      </c>
      <c r="C9" s="347">
        <f t="shared" si="0"/>
        <v>5250000</v>
      </c>
      <c r="D9" s="347">
        <f t="shared" si="0"/>
        <v>5512500</v>
      </c>
      <c r="E9" s="615"/>
    </row>
    <row r="10" spans="1:5" s="345" customFormat="1" ht="15.5">
      <c r="A10" s="346" t="s">
        <v>794</v>
      </c>
      <c r="B10" s="346">
        <f>-2000000+8000000</f>
        <v>6000000</v>
      </c>
      <c r="C10" s="347">
        <f t="shared" si="0"/>
        <v>6300000</v>
      </c>
      <c r="D10" s="347">
        <f t="shared" si="0"/>
        <v>6615000</v>
      </c>
      <c r="E10" s="615"/>
    </row>
    <row r="11" spans="1:5" s="345" customFormat="1" ht="15.5">
      <c r="A11" s="346" t="s">
        <v>700</v>
      </c>
      <c r="B11" s="346">
        <f>-2000000+8000000</f>
        <v>6000000</v>
      </c>
      <c r="C11" s="347">
        <f t="shared" si="0"/>
        <v>6300000</v>
      </c>
      <c r="D11" s="347">
        <f t="shared" si="0"/>
        <v>6615000</v>
      </c>
      <c r="E11" s="615"/>
    </row>
    <row r="12" spans="1:5" s="345" customFormat="1" ht="15.5">
      <c r="A12" s="346" t="s">
        <v>39</v>
      </c>
      <c r="B12" s="346">
        <f>-2000000+6000000</f>
        <v>4000000</v>
      </c>
      <c r="C12" s="347">
        <f t="shared" si="0"/>
        <v>4200000</v>
      </c>
      <c r="D12" s="347">
        <f t="shared" si="0"/>
        <v>4410000</v>
      </c>
      <c r="E12" s="615"/>
    </row>
    <row r="13" spans="1:5" s="345" customFormat="1" ht="15.5">
      <c r="A13" s="346" t="s">
        <v>40</v>
      </c>
      <c r="B13" s="346">
        <f>-2000000+6000000</f>
        <v>4000000</v>
      </c>
      <c r="C13" s="347">
        <f t="shared" si="0"/>
        <v>4200000</v>
      </c>
      <c r="D13" s="347">
        <f t="shared" si="0"/>
        <v>4410000</v>
      </c>
      <c r="E13" s="615"/>
    </row>
    <row r="14" spans="1:5" s="345" customFormat="1" ht="15.5">
      <c r="A14" s="344" t="s">
        <v>89</v>
      </c>
      <c r="B14" s="344">
        <f>B15+B16+B17+B18</f>
        <v>15000000</v>
      </c>
      <c r="C14" s="344">
        <f t="shared" si="0"/>
        <v>15750000</v>
      </c>
      <c r="D14" s="344">
        <f t="shared" si="0"/>
        <v>16537500</v>
      </c>
    </row>
    <row r="15" spans="1:5" s="345" customFormat="1" ht="15.5">
      <c r="A15" s="346" t="s">
        <v>90</v>
      </c>
      <c r="B15" s="346">
        <v>5000000</v>
      </c>
      <c r="C15" s="347">
        <f t="shared" si="0"/>
        <v>5250000</v>
      </c>
      <c r="D15" s="347">
        <f t="shared" si="0"/>
        <v>5512500</v>
      </c>
    </row>
    <row r="16" spans="1:5" s="345" customFormat="1" ht="15.5">
      <c r="A16" s="346" t="s">
        <v>673</v>
      </c>
      <c r="B16" s="346">
        <v>4000000</v>
      </c>
      <c r="C16" s="347">
        <f t="shared" si="0"/>
        <v>4200000</v>
      </c>
      <c r="D16" s="347">
        <f t="shared" si="0"/>
        <v>4410000</v>
      </c>
    </row>
    <row r="17" spans="1:4" s="345" customFormat="1" ht="15.5">
      <c r="A17" s="347" t="s">
        <v>41</v>
      </c>
      <c r="B17" s="347">
        <v>4000000</v>
      </c>
      <c r="C17" s="347">
        <f t="shared" si="0"/>
        <v>4200000</v>
      </c>
      <c r="D17" s="347">
        <f t="shared" si="0"/>
        <v>4410000</v>
      </c>
    </row>
    <row r="18" spans="1:4" s="345" customFormat="1" ht="15.5">
      <c r="A18" s="347" t="s">
        <v>795</v>
      </c>
      <c r="B18" s="347">
        <v>2000000</v>
      </c>
      <c r="C18" s="347">
        <f t="shared" si="0"/>
        <v>2100000</v>
      </c>
      <c r="D18" s="347">
        <f t="shared" si="0"/>
        <v>2205000</v>
      </c>
    </row>
    <row r="19" spans="1:4" s="345" customFormat="1" ht="15.5">
      <c r="A19" s="344" t="s">
        <v>42</v>
      </c>
      <c r="B19" s="344">
        <f>B20+B21+B22+B23</f>
        <v>5000000</v>
      </c>
      <c r="C19" s="344">
        <f t="shared" si="0"/>
        <v>5250000</v>
      </c>
      <c r="D19" s="344">
        <f t="shared" si="0"/>
        <v>5512500</v>
      </c>
    </row>
    <row r="20" spans="1:4" s="345" customFormat="1" ht="15.5">
      <c r="A20" s="346" t="s">
        <v>44</v>
      </c>
      <c r="B20" s="346">
        <v>5000000</v>
      </c>
      <c r="C20" s="347">
        <f t="shared" si="0"/>
        <v>5250000</v>
      </c>
      <c r="D20" s="347">
        <f t="shared" si="0"/>
        <v>5512500</v>
      </c>
    </row>
    <row r="21" spans="1:4" s="345" customFormat="1" ht="15.5">
      <c r="A21" s="346" t="s">
        <v>772</v>
      </c>
      <c r="B21" s="346"/>
      <c r="C21" s="347">
        <f t="shared" si="0"/>
        <v>0</v>
      </c>
      <c r="D21" s="347">
        <f t="shared" si="0"/>
        <v>0</v>
      </c>
    </row>
    <row r="22" spans="1:4" s="345" customFormat="1" ht="15.5">
      <c r="A22" s="346" t="s">
        <v>45</v>
      </c>
      <c r="B22" s="346"/>
      <c r="C22" s="347">
        <f t="shared" si="0"/>
        <v>0</v>
      </c>
      <c r="D22" s="347">
        <f t="shared" si="0"/>
        <v>0</v>
      </c>
    </row>
    <row r="23" spans="1:4" s="345" customFormat="1" ht="15.5">
      <c r="A23" s="346" t="s">
        <v>46</v>
      </c>
      <c r="B23" s="346"/>
      <c r="C23" s="347">
        <f t="shared" si="0"/>
        <v>0</v>
      </c>
      <c r="D23" s="347">
        <f t="shared" si="0"/>
        <v>0</v>
      </c>
    </row>
    <row r="24" spans="1:4" s="345" customFormat="1" ht="15.5">
      <c r="A24" s="344" t="s">
        <v>718</v>
      </c>
      <c r="B24" s="344">
        <f>B25+B26</f>
        <v>1500000</v>
      </c>
      <c r="C24" s="344">
        <f t="shared" si="0"/>
        <v>1575000</v>
      </c>
      <c r="D24" s="344">
        <f t="shared" si="0"/>
        <v>1653750</v>
      </c>
    </row>
    <row r="25" spans="1:4" s="345" customFormat="1" ht="15.5">
      <c r="A25" s="346" t="s">
        <v>719</v>
      </c>
      <c r="B25" s="346">
        <v>1500000</v>
      </c>
      <c r="C25" s="347">
        <f t="shared" si="0"/>
        <v>1575000</v>
      </c>
      <c r="D25" s="347">
        <f t="shared" si="0"/>
        <v>1653750</v>
      </c>
    </row>
    <row r="26" spans="1:4" s="345" customFormat="1" ht="15.5">
      <c r="A26" s="346" t="s">
        <v>796</v>
      </c>
      <c r="B26" s="346">
        <v>0</v>
      </c>
      <c r="C26" s="347">
        <f t="shared" si="0"/>
        <v>0</v>
      </c>
      <c r="D26" s="347">
        <f t="shared" si="0"/>
        <v>0</v>
      </c>
    </row>
    <row r="27" spans="1:4" s="345" customFormat="1" ht="15.5">
      <c r="A27" s="344" t="s">
        <v>47</v>
      </c>
      <c r="B27" s="344">
        <f>B28+B29+B30+B31+B32</f>
        <v>6000000</v>
      </c>
      <c r="C27" s="344">
        <f t="shared" si="0"/>
        <v>6300000</v>
      </c>
      <c r="D27" s="344">
        <f t="shared" si="0"/>
        <v>6615000</v>
      </c>
    </row>
    <row r="28" spans="1:4" s="345" customFormat="1" ht="15.5">
      <c r="A28" s="348" t="s">
        <v>701</v>
      </c>
      <c r="B28" s="348">
        <v>3000000</v>
      </c>
      <c r="C28" s="347">
        <f t="shared" si="0"/>
        <v>3150000</v>
      </c>
      <c r="D28" s="347">
        <f t="shared" si="0"/>
        <v>3307500</v>
      </c>
    </row>
    <row r="29" spans="1:4" s="345" customFormat="1" ht="15.5">
      <c r="A29" s="348" t="s">
        <v>702</v>
      </c>
      <c r="B29" s="348">
        <v>3000000</v>
      </c>
      <c r="C29" s="347">
        <f t="shared" si="0"/>
        <v>3150000</v>
      </c>
      <c r="D29" s="347">
        <f t="shared" si="0"/>
        <v>3307500</v>
      </c>
    </row>
    <row r="30" spans="1:4" s="345" customFormat="1" ht="15.5">
      <c r="A30" s="346" t="s">
        <v>797</v>
      </c>
      <c r="B30" s="346"/>
      <c r="C30" s="347">
        <f t="shared" si="0"/>
        <v>0</v>
      </c>
      <c r="D30" s="347">
        <f t="shared" si="0"/>
        <v>0</v>
      </c>
    </row>
    <row r="31" spans="1:4" s="345" customFormat="1" ht="15.5">
      <c r="A31" s="346" t="s">
        <v>798</v>
      </c>
      <c r="B31" s="346"/>
      <c r="C31" s="347">
        <f t="shared" si="0"/>
        <v>0</v>
      </c>
      <c r="D31" s="347">
        <f t="shared" si="0"/>
        <v>0</v>
      </c>
    </row>
    <row r="32" spans="1:4" s="345" customFormat="1" ht="15.5">
      <c r="A32" s="346" t="s">
        <v>703</v>
      </c>
      <c r="B32" s="346"/>
      <c r="C32" s="347">
        <f t="shared" si="0"/>
        <v>0</v>
      </c>
      <c r="D32" s="347">
        <f t="shared" si="0"/>
        <v>0</v>
      </c>
    </row>
    <row r="33" spans="1:4" s="345" customFormat="1" ht="15.5">
      <c r="A33" s="344" t="s">
        <v>49</v>
      </c>
      <c r="B33" s="344">
        <f>B34+B35</f>
        <v>23000000</v>
      </c>
      <c r="C33" s="344">
        <f t="shared" si="0"/>
        <v>24150000</v>
      </c>
      <c r="D33" s="344">
        <f t="shared" si="0"/>
        <v>25357500</v>
      </c>
    </row>
    <row r="34" spans="1:4" s="345" customFormat="1" ht="15.5">
      <c r="A34" s="348" t="s">
        <v>799</v>
      </c>
      <c r="B34" s="348">
        <v>15000000</v>
      </c>
      <c r="C34" s="347">
        <f t="shared" si="0"/>
        <v>15750000</v>
      </c>
      <c r="D34" s="347">
        <f t="shared" si="0"/>
        <v>16537500</v>
      </c>
    </row>
    <row r="35" spans="1:4" s="345" customFormat="1" ht="15.5">
      <c r="A35" s="348" t="s">
        <v>761</v>
      </c>
      <c r="B35" s="348">
        <v>8000000</v>
      </c>
      <c r="C35" s="347">
        <f t="shared" si="0"/>
        <v>8400000</v>
      </c>
      <c r="D35" s="347">
        <f t="shared" si="0"/>
        <v>8820000</v>
      </c>
    </row>
    <row r="36" spans="1:4" s="345" customFormat="1" ht="15.5">
      <c r="A36" s="344" t="s">
        <v>677</v>
      </c>
      <c r="B36" s="344">
        <f>B37</f>
        <v>0</v>
      </c>
      <c r="C36" s="344">
        <f t="shared" si="0"/>
        <v>0</v>
      </c>
      <c r="D36" s="344">
        <f t="shared" si="0"/>
        <v>0</v>
      </c>
    </row>
    <row r="37" spans="1:4" s="345" customFormat="1" ht="15.5">
      <c r="A37" s="347" t="s">
        <v>720</v>
      </c>
      <c r="B37" s="347"/>
      <c r="C37" s="347">
        <f t="shared" si="0"/>
        <v>0</v>
      </c>
      <c r="D37" s="347">
        <f t="shared" si="0"/>
        <v>0</v>
      </c>
    </row>
    <row r="38" spans="1:4" s="345" customFormat="1" ht="15.5">
      <c r="A38" s="344" t="s">
        <v>55</v>
      </c>
      <c r="B38" s="344">
        <f>B39+B40</f>
        <v>4205250</v>
      </c>
      <c r="C38" s="344">
        <f t="shared" si="0"/>
        <v>4415512.5</v>
      </c>
      <c r="D38" s="344">
        <f t="shared" si="0"/>
        <v>4636288.125</v>
      </c>
    </row>
    <row r="39" spans="1:4" s="345" customFormat="1" ht="15.5">
      <c r="A39" s="346" t="s">
        <v>56</v>
      </c>
      <c r="B39" s="346">
        <v>3000000</v>
      </c>
      <c r="C39" s="347">
        <f t="shared" si="0"/>
        <v>3150000</v>
      </c>
      <c r="D39" s="347">
        <f t="shared" si="0"/>
        <v>3307500</v>
      </c>
    </row>
    <row r="40" spans="1:4" s="345" customFormat="1" ht="15.5">
      <c r="A40" s="346" t="s">
        <v>704</v>
      </c>
      <c r="B40" s="346">
        <v>1205250</v>
      </c>
      <c r="C40" s="347">
        <f t="shared" si="0"/>
        <v>1265512.5</v>
      </c>
      <c r="D40" s="347">
        <f t="shared" si="0"/>
        <v>1328788.125</v>
      </c>
    </row>
    <row r="41" spans="1:4" s="345" customFormat="1" ht="15.5">
      <c r="A41" s="344" t="s">
        <v>58</v>
      </c>
      <c r="B41" s="344">
        <f>B42</f>
        <v>15000000</v>
      </c>
      <c r="C41" s="344">
        <f t="shared" si="0"/>
        <v>15750000</v>
      </c>
      <c r="D41" s="344">
        <f t="shared" si="0"/>
        <v>16537500</v>
      </c>
    </row>
    <row r="42" spans="1:4" s="345" customFormat="1" ht="15.5">
      <c r="A42" s="346" t="s">
        <v>800</v>
      </c>
      <c r="B42" s="346">
        <v>15000000</v>
      </c>
      <c r="C42" s="347">
        <f t="shared" si="0"/>
        <v>15750000</v>
      </c>
      <c r="D42" s="347">
        <f t="shared" si="0"/>
        <v>16537500</v>
      </c>
    </row>
    <row r="43" spans="1:4" s="345" customFormat="1" ht="15.5">
      <c r="A43" s="344" t="s">
        <v>60</v>
      </c>
      <c r="B43" s="344">
        <f>B44+B45+B46+B47+B48+B49+B50+B51+B52+B53+B54</f>
        <v>18600000</v>
      </c>
      <c r="C43" s="344">
        <f t="shared" si="0"/>
        <v>19530000</v>
      </c>
      <c r="D43" s="344">
        <f t="shared" si="0"/>
        <v>20506500</v>
      </c>
    </row>
    <row r="44" spans="1:4" s="345" customFormat="1" ht="15.5">
      <c r="A44" s="347" t="s">
        <v>801</v>
      </c>
      <c r="B44" s="347">
        <v>0</v>
      </c>
      <c r="C44" s="347">
        <f t="shared" si="0"/>
        <v>0</v>
      </c>
      <c r="D44" s="347">
        <f t="shared" si="0"/>
        <v>0</v>
      </c>
    </row>
    <row r="45" spans="1:4" s="345" customFormat="1" ht="15.5">
      <c r="A45" s="347" t="s">
        <v>103</v>
      </c>
      <c r="B45" s="347">
        <v>0</v>
      </c>
      <c r="C45" s="347">
        <f t="shared" si="0"/>
        <v>0</v>
      </c>
      <c r="D45" s="347">
        <f t="shared" si="0"/>
        <v>0</v>
      </c>
    </row>
    <row r="46" spans="1:4" s="345" customFormat="1" ht="15.5">
      <c r="A46" s="346" t="s">
        <v>54</v>
      </c>
      <c r="B46" s="346">
        <v>3000000</v>
      </c>
      <c r="C46" s="347">
        <f t="shared" si="0"/>
        <v>3150000</v>
      </c>
      <c r="D46" s="347">
        <f t="shared" si="0"/>
        <v>3307500</v>
      </c>
    </row>
    <row r="47" spans="1:4" s="345" customFormat="1" ht="15.5">
      <c r="A47" s="346" t="s">
        <v>61</v>
      </c>
      <c r="B47" s="346">
        <v>3600000</v>
      </c>
      <c r="C47" s="347">
        <f t="shared" si="0"/>
        <v>3780000</v>
      </c>
      <c r="D47" s="347">
        <f t="shared" si="0"/>
        <v>3969000</v>
      </c>
    </row>
    <row r="48" spans="1:4" s="345" customFormat="1" ht="15.5">
      <c r="A48" s="349" t="s">
        <v>802</v>
      </c>
      <c r="B48" s="349">
        <v>12000000</v>
      </c>
      <c r="C48" s="347">
        <f t="shared" si="0"/>
        <v>12600000</v>
      </c>
      <c r="D48" s="347">
        <f t="shared" si="0"/>
        <v>13230000</v>
      </c>
    </row>
    <row r="49" spans="1:4" s="345" customFormat="1" ht="15.5">
      <c r="A49" s="347" t="s">
        <v>717</v>
      </c>
      <c r="B49" s="347"/>
      <c r="C49" s="347">
        <f t="shared" si="0"/>
        <v>0</v>
      </c>
      <c r="D49" s="347">
        <f t="shared" si="0"/>
        <v>0</v>
      </c>
    </row>
    <row r="50" spans="1:4" ht="15.5">
      <c r="A50" s="349" t="s">
        <v>803</v>
      </c>
      <c r="B50" s="349">
        <v>0</v>
      </c>
      <c r="C50" s="347">
        <f t="shared" si="0"/>
        <v>0</v>
      </c>
      <c r="D50" s="347">
        <f t="shared" si="0"/>
        <v>0</v>
      </c>
    </row>
    <row r="51" spans="1:4" ht="15.5">
      <c r="A51" s="347" t="s">
        <v>804</v>
      </c>
      <c r="B51" s="347">
        <v>0</v>
      </c>
      <c r="C51" s="347">
        <f t="shared" si="0"/>
        <v>0</v>
      </c>
      <c r="D51" s="347">
        <f t="shared" si="0"/>
        <v>0</v>
      </c>
    </row>
    <row r="52" spans="1:4" ht="15.5">
      <c r="A52" s="347" t="s">
        <v>805</v>
      </c>
      <c r="B52" s="347"/>
      <c r="C52" s="347">
        <f t="shared" si="0"/>
        <v>0</v>
      </c>
      <c r="D52" s="347">
        <f t="shared" si="0"/>
        <v>0</v>
      </c>
    </row>
    <row r="53" spans="1:4" ht="15.5">
      <c r="A53" s="347" t="s">
        <v>773</v>
      </c>
      <c r="B53" s="347"/>
      <c r="C53" s="347">
        <f t="shared" si="0"/>
        <v>0</v>
      </c>
      <c r="D53" s="347">
        <f t="shared" si="0"/>
        <v>0</v>
      </c>
    </row>
    <row r="54" spans="1:4" ht="15.5">
      <c r="A54" s="347" t="s">
        <v>806</v>
      </c>
      <c r="B54" s="347">
        <v>0</v>
      </c>
      <c r="C54" s="347">
        <f t="shared" si="0"/>
        <v>0</v>
      </c>
      <c r="D54" s="347">
        <f t="shared" si="0"/>
        <v>0</v>
      </c>
    </row>
    <row r="55" spans="1:4" s="345" customFormat="1" ht="15.5">
      <c r="A55" s="344" t="s">
        <v>64</v>
      </c>
      <c r="B55" s="344">
        <f>B56</f>
        <v>12000000</v>
      </c>
      <c r="C55" s="344">
        <f t="shared" si="0"/>
        <v>12600000</v>
      </c>
      <c r="D55" s="344">
        <f t="shared" si="0"/>
        <v>13230000</v>
      </c>
    </row>
    <row r="56" spans="1:4" s="345" customFormat="1" ht="15.5">
      <c r="A56" s="346" t="s">
        <v>65</v>
      </c>
      <c r="B56" s="346">
        <v>12000000</v>
      </c>
      <c r="C56" s="347">
        <f t="shared" si="0"/>
        <v>12600000</v>
      </c>
      <c r="D56" s="347">
        <f t="shared" si="0"/>
        <v>13230000</v>
      </c>
    </row>
    <row r="57" spans="1:4" s="345" customFormat="1" ht="15.5">
      <c r="A57" s="344" t="s">
        <v>112</v>
      </c>
      <c r="B57" s="344">
        <f>B58+B59+B60+B61+B62</f>
        <v>1700000</v>
      </c>
      <c r="C57" s="344">
        <f t="shared" si="0"/>
        <v>1785000</v>
      </c>
      <c r="D57" s="344">
        <f t="shared" si="0"/>
        <v>1874250</v>
      </c>
    </row>
    <row r="58" spans="1:4" s="345" customFormat="1" ht="15.5">
      <c r="A58" s="347" t="s">
        <v>113</v>
      </c>
      <c r="B58" s="347">
        <v>0</v>
      </c>
      <c r="C58" s="347">
        <f t="shared" si="0"/>
        <v>0</v>
      </c>
      <c r="D58" s="347">
        <f t="shared" si="0"/>
        <v>0</v>
      </c>
    </row>
    <row r="59" spans="1:4" s="345" customFormat="1" ht="15.5">
      <c r="A59" s="347" t="s">
        <v>66</v>
      </c>
      <c r="B59" s="347"/>
      <c r="C59" s="347">
        <f t="shared" si="0"/>
        <v>0</v>
      </c>
      <c r="D59" s="347">
        <f t="shared" si="0"/>
        <v>0</v>
      </c>
    </row>
    <row r="60" spans="1:4" s="345" customFormat="1" ht="15.5">
      <c r="A60" s="347" t="s">
        <v>807</v>
      </c>
      <c r="B60" s="347">
        <v>0</v>
      </c>
      <c r="C60" s="347">
        <f t="shared" si="0"/>
        <v>0</v>
      </c>
      <c r="D60" s="347">
        <f t="shared" si="0"/>
        <v>0</v>
      </c>
    </row>
    <row r="61" spans="1:4" s="345" customFormat="1" ht="15.5">
      <c r="A61" s="347" t="s">
        <v>142</v>
      </c>
      <c r="B61" s="347">
        <v>500000</v>
      </c>
      <c r="C61" s="347">
        <f t="shared" si="0"/>
        <v>525000</v>
      </c>
      <c r="D61" s="347">
        <f t="shared" si="0"/>
        <v>551250</v>
      </c>
    </row>
    <row r="62" spans="1:4" s="345" customFormat="1" ht="15.5">
      <c r="A62" s="347" t="s">
        <v>808</v>
      </c>
      <c r="B62" s="347">
        <v>1200000</v>
      </c>
      <c r="C62" s="347">
        <f t="shared" si="0"/>
        <v>1260000</v>
      </c>
      <c r="D62" s="347">
        <f t="shared" si="0"/>
        <v>1323000</v>
      </c>
    </row>
    <row r="63" spans="1:4" s="345" customFormat="1" ht="15.5">
      <c r="A63" s="344" t="s">
        <v>26</v>
      </c>
      <c r="B63" s="344">
        <f>B64+B65+B66</f>
        <v>0</v>
      </c>
      <c r="C63" s="344">
        <f t="shared" si="0"/>
        <v>0</v>
      </c>
      <c r="D63" s="344">
        <f t="shared" si="0"/>
        <v>0</v>
      </c>
    </row>
    <row r="64" spans="1:4" s="345" customFormat="1" ht="15.5">
      <c r="A64" s="347" t="s">
        <v>809</v>
      </c>
      <c r="B64" s="347"/>
      <c r="C64" s="344">
        <f t="shared" si="0"/>
        <v>0</v>
      </c>
      <c r="D64" s="344">
        <f t="shared" si="0"/>
        <v>0</v>
      </c>
    </row>
    <row r="65" spans="1:6" s="345" customFormat="1" ht="15.5">
      <c r="A65" s="350" t="s">
        <v>28</v>
      </c>
      <c r="B65" s="350"/>
      <c r="C65" s="344">
        <f t="shared" si="0"/>
        <v>0</v>
      </c>
      <c r="D65" s="344">
        <f t="shared" si="0"/>
        <v>0</v>
      </c>
    </row>
    <row r="66" spans="1:6" s="345" customFormat="1" ht="15.5">
      <c r="A66" s="347" t="s">
        <v>810</v>
      </c>
      <c r="B66" s="347"/>
      <c r="C66" s="344">
        <f t="shared" ref="C66:D72" si="1">1.05*B66</f>
        <v>0</v>
      </c>
      <c r="D66" s="344">
        <f t="shared" si="1"/>
        <v>0</v>
      </c>
    </row>
    <row r="67" spans="1:6" s="345" customFormat="1" ht="15.5">
      <c r="A67" s="344" t="s">
        <v>115</v>
      </c>
      <c r="B67" s="344">
        <f>B68+B69+B70</f>
        <v>500000</v>
      </c>
      <c r="C67" s="344">
        <f t="shared" si="1"/>
        <v>525000</v>
      </c>
      <c r="D67" s="344">
        <f t="shared" si="1"/>
        <v>551250</v>
      </c>
    </row>
    <row r="68" spans="1:6" s="345" customFormat="1" ht="15.5">
      <c r="A68" s="346" t="s">
        <v>69</v>
      </c>
      <c r="B68" s="346">
        <v>500000</v>
      </c>
      <c r="C68" s="347">
        <f t="shared" si="1"/>
        <v>525000</v>
      </c>
      <c r="D68" s="347">
        <f t="shared" si="1"/>
        <v>551250</v>
      </c>
    </row>
    <row r="69" spans="1:6" s="345" customFormat="1" ht="15.5">
      <c r="A69" s="346" t="s">
        <v>70</v>
      </c>
      <c r="B69" s="346"/>
      <c r="C69" s="347">
        <f t="shared" si="1"/>
        <v>0</v>
      </c>
      <c r="D69" s="347">
        <f t="shared" si="1"/>
        <v>0</v>
      </c>
    </row>
    <row r="70" spans="1:6" s="345" customFormat="1" ht="15.5">
      <c r="A70" s="346" t="s">
        <v>811</v>
      </c>
      <c r="B70" s="346"/>
      <c r="C70" s="347">
        <f t="shared" si="1"/>
        <v>0</v>
      </c>
      <c r="D70" s="347">
        <f t="shared" si="1"/>
        <v>0</v>
      </c>
    </row>
    <row r="71" spans="1:6" s="345" customFormat="1" ht="15.5">
      <c r="A71" s="351" t="s">
        <v>346</v>
      </c>
      <c r="B71" s="351">
        <v>18000000</v>
      </c>
      <c r="C71" s="344">
        <f t="shared" si="1"/>
        <v>18900000</v>
      </c>
      <c r="D71" s="344">
        <f t="shared" si="1"/>
        <v>19845000</v>
      </c>
    </row>
    <row r="72" spans="1:6" ht="15.5">
      <c r="A72" s="344" t="s">
        <v>412</v>
      </c>
      <c r="B72" s="344">
        <f>B71+B67+B63+B57+B55+B43+B41+B38+B33+B27+B24+B19+B14+B8+B5+B2</f>
        <v>146705250</v>
      </c>
      <c r="C72" s="344">
        <f t="shared" si="1"/>
        <v>154040512.5</v>
      </c>
      <c r="D72" s="344">
        <f t="shared" si="1"/>
        <v>161742538.125</v>
      </c>
      <c r="F72" s="352">
        <f>161205250-B72</f>
        <v>14500000</v>
      </c>
    </row>
    <row r="73" spans="1:6" ht="62">
      <c r="A73" s="341" t="s">
        <v>812</v>
      </c>
      <c r="B73" s="341" t="s">
        <v>790</v>
      </c>
      <c r="C73" s="353" t="s">
        <v>565</v>
      </c>
      <c r="D73" s="353" t="s">
        <v>566</v>
      </c>
    </row>
    <row r="74" spans="1:6" ht="15.5">
      <c r="A74" s="344" t="s">
        <v>32</v>
      </c>
      <c r="B74" s="344">
        <f>B75</f>
        <v>500000</v>
      </c>
      <c r="C74" s="344">
        <f t="shared" ref="C74:D93" si="2">1.05*B74</f>
        <v>525000</v>
      </c>
      <c r="D74" s="344">
        <f t="shared" si="2"/>
        <v>551250</v>
      </c>
    </row>
    <row r="75" spans="1:6" ht="15.5">
      <c r="A75" s="354" t="s">
        <v>698</v>
      </c>
      <c r="B75" s="354">
        <v>500000</v>
      </c>
      <c r="C75" s="347">
        <f t="shared" si="2"/>
        <v>525000</v>
      </c>
      <c r="D75" s="347">
        <f t="shared" si="2"/>
        <v>551250</v>
      </c>
    </row>
    <row r="76" spans="1:6" ht="15.5">
      <c r="A76" s="344" t="s">
        <v>36</v>
      </c>
      <c r="B76" s="344">
        <f>B77+B78+B79</f>
        <v>5000000</v>
      </c>
      <c r="C76" s="344">
        <f t="shared" si="2"/>
        <v>5250000</v>
      </c>
      <c r="D76" s="344">
        <f t="shared" si="2"/>
        <v>5512500</v>
      </c>
    </row>
    <row r="77" spans="1:6" ht="15.5">
      <c r="A77" s="346" t="s">
        <v>700</v>
      </c>
      <c r="B77" s="346">
        <v>2000000</v>
      </c>
      <c r="C77" s="347">
        <f t="shared" si="2"/>
        <v>2100000</v>
      </c>
      <c r="D77" s="347">
        <f t="shared" si="2"/>
        <v>2205000</v>
      </c>
    </row>
    <row r="78" spans="1:6" ht="15.5">
      <c r="A78" s="346" t="s">
        <v>813</v>
      </c>
      <c r="B78" s="346">
        <v>1000000</v>
      </c>
      <c r="C78" s="347">
        <f t="shared" si="2"/>
        <v>1050000</v>
      </c>
      <c r="D78" s="347">
        <f t="shared" si="2"/>
        <v>1102500</v>
      </c>
    </row>
    <row r="79" spans="1:6" ht="15.5">
      <c r="A79" s="346" t="s">
        <v>39</v>
      </c>
      <c r="B79" s="346">
        <v>2000000</v>
      </c>
      <c r="C79" s="347">
        <f t="shared" si="2"/>
        <v>2100000</v>
      </c>
      <c r="D79" s="347">
        <f t="shared" si="2"/>
        <v>2205000</v>
      </c>
    </row>
    <row r="80" spans="1:6" ht="15.5">
      <c r="A80" s="344" t="s">
        <v>49</v>
      </c>
      <c r="B80" s="344">
        <f>B81+B82</f>
        <v>4000000</v>
      </c>
      <c r="C80" s="344">
        <f t="shared" si="2"/>
        <v>4200000</v>
      </c>
      <c r="D80" s="344">
        <f t="shared" si="2"/>
        <v>4410000</v>
      </c>
    </row>
    <row r="81" spans="1:4" ht="15.5">
      <c r="A81" s="346" t="s">
        <v>760</v>
      </c>
      <c r="B81" s="346">
        <v>3000000</v>
      </c>
      <c r="C81" s="347">
        <f t="shared" si="2"/>
        <v>3150000</v>
      </c>
      <c r="D81" s="347">
        <f t="shared" si="2"/>
        <v>3307500</v>
      </c>
    </row>
    <row r="82" spans="1:4" ht="15.5">
      <c r="A82" s="346" t="s">
        <v>761</v>
      </c>
      <c r="B82" s="346">
        <v>1000000</v>
      </c>
      <c r="C82" s="347">
        <f t="shared" si="2"/>
        <v>1050000</v>
      </c>
      <c r="D82" s="347">
        <f t="shared" si="2"/>
        <v>1102500</v>
      </c>
    </row>
    <row r="83" spans="1:4" ht="15.5">
      <c r="A83" s="344" t="s">
        <v>55</v>
      </c>
      <c r="B83" s="344">
        <f>B84</f>
        <v>500000</v>
      </c>
      <c r="C83" s="344">
        <f t="shared" si="2"/>
        <v>525000</v>
      </c>
      <c r="D83" s="344">
        <f t="shared" si="2"/>
        <v>551250</v>
      </c>
    </row>
    <row r="84" spans="1:4" ht="15.5">
      <c r="A84" s="346" t="s">
        <v>99</v>
      </c>
      <c r="B84" s="346">
        <v>500000</v>
      </c>
      <c r="C84" s="347">
        <f t="shared" si="2"/>
        <v>525000</v>
      </c>
      <c r="D84" s="347">
        <f t="shared" si="2"/>
        <v>551250</v>
      </c>
    </row>
    <row r="85" spans="1:4" ht="15.5">
      <c r="A85" s="344" t="s">
        <v>58</v>
      </c>
      <c r="B85" s="344">
        <f>B86</f>
        <v>3000000</v>
      </c>
      <c r="C85" s="344">
        <f t="shared" si="2"/>
        <v>3150000</v>
      </c>
      <c r="D85" s="344">
        <f t="shared" si="2"/>
        <v>3307500</v>
      </c>
    </row>
    <row r="86" spans="1:4" ht="15.5">
      <c r="A86" s="346" t="s">
        <v>814</v>
      </c>
      <c r="B86" s="346">
        <v>3000000</v>
      </c>
      <c r="C86" s="347">
        <f t="shared" si="2"/>
        <v>3150000</v>
      </c>
      <c r="D86" s="347">
        <f t="shared" si="2"/>
        <v>3307500</v>
      </c>
    </row>
    <row r="87" spans="1:4" ht="15.5">
      <c r="A87" s="344" t="s">
        <v>60</v>
      </c>
      <c r="B87" s="344">
        <f>B88+B89+B90</f>
        <v>3000000</v>
      </c>
      <c r="C87" s="344">
        <f t="shared" si="2"/>
        <v>3150000</v>
      </c>
      <c r="D87" s="344">
        <f t="shared" si="2"/>
        <v>3307500</v>
      </c>
    </row>
    <row r="88" spans="1:4" ht="15.5">
      <c r="A88" s="346" t="s">
        <v>54</v>
      </c>
      <c r="B88" s="346">
        <v>2000000</v>
      </c>
      <c r="C88" s="347">
        <f t="shared" si="2"/>
        <v>2100000</v>
      </c>
      <c r="D88" s="347">
        <f t="shared" si="2"/>
        <v>2205000</v>
      </c>
    </row>
    <row r="89" spans="1:4" ht="15.5">
      <c r="A89" s="346" t="s">
        <v>815</v>
      </c>
      <c r="B89" s="346">
        <v>1000000</v>
      </c>
      <c r="C89" s="347">
        <f t="shared" si="2"/>
        <v>1050000</v>
      </c>
      <c r="D89" s="347">
        <f t="shared" si="2"/>
        <v>1102500</v>
      </c>
    </row>
    <row r="90" spans="1:4" ht="15.5">
      <c r="A90" s="347" t="s">
        <v>773</v>
      </c>
      <c r="B90" s="347"/>
      <c r="C90" s="347">
        <f t="shared" si="2"/>
        <v>0</v>
      </c>
      <c r="D90" s="347">
        <f t="shared" si="2"/>
        <v>0</v>
      </c>
    </row>
    <row r="91" spans="1:4" ht="15.5">
      <c r="A91" s="344" t="s">
        <v>64</v>
      </c>
      <c r="B91" s="344">
        <f>B92</f>
        <v>2000000</v>
      </c>
      <c r="C91" s="344">
        <f t="shared" si="2"/>
        <v>2100000</v>
      </c>
      <c r="D91" s="344">
        <f t="shared" si="2"/>
        <v>2205000</v>
      </c>
    </row>
    <row r="92" spans="1:4" ht="15.5">
      <c r="A92" s="346" t="s">
        <v>65</v>
      </c>
      <c r="B92" s="346">
        <v>2000000</v>
      </c>
      <c r="C92" s="347">
        <f t="shared" si="2"/>
        <v>2100000</v>
      </c>
      <c r="D92" s="347">
        <f t="shared" si="2"/>
        <v>2205000</v>
      </c>
    </row>
    <row r="93" spans="1:4" ht="15.5">
      <c r="A93" s="344" t="s">
        <v>791</v>
      </c>
      <c r="B93" s="344">
        <f>B74+B76+B80+B83+B85+B87+B91</f>
        <v>18000000</v>
      </c>
      <c r="C93" s="344">
        <f t="shared" si="2"/>
        <v>18900000</v>
      </c>
      <c r="D93" s="344">
        <f t="shared" si="2"/>
        <v>19845000</v>
      </c>
    </row>
    <row r="94" spans="1:4" ht="62">
      <c r="A94" s="341" t="s">
        <v>816</v>
      </c>
      <c r="B94" s="341" t="s">
        <v>790</v>
      </c>
      <c r="C94" s="353" t="s">
        <v>565</v>
      </c>
      <c r="D94" s="353" t="s">
        <v>566</v>
      </c>
    </row>
    <row r="95" spans="1:4" ht="15.5">
      <c r="A95" s="344" t="s">
        <v>32</v>
      </c>
      <c r="B95" s="344"/>
      <c r="C95" s="344">
        <f t="shared" ref="C95:D126" si="3">1.05*B95</f>
        <v>0</v>
      </c>
      <c r="D95" s="344">
        <f t="shared" si="3"/>
        <v>0</v>
      </c>
    </row>
    <row r="96" spans="1:4" s="345" customFormat="1" ht="15.5">
      <c r="A96" s="346" t="s">
        <v>698</v>
      </c>
      <c r="B96" s="346">
        <v>600000</v>
      </c>
      <c r="C96" s="347">
        <f t="shared" si="3"/>
        <v>630000</v>
      </c>
      <c r="D96" s="347">
        <f t="shared" si="3"/>
        <v>661500</v>
      </c>
    </row>
    <row r="97" spans="1:4" ht="15.5">
      <c r="A97" s="344" t="s">
        <v>36</v>
      </c>
      <c r="B97" s="344">
        <f>B98+B99+B100+B101</f>
        <v>5000000</v>
      </c>
      <c r="C97" s="344">
        <f t="shared" si="3"/>
        <v>5250000</v>
      </c>
      <c r="D97" s="344">
        <f t="shared" si="3"/>
        <v>5512500</v>
      </c>
    </row>
    <row r="98" spans="1:4" ht="15.5">
      <c r="A98" s="347" t="s">
        <v>813</v>
      </c>
      <c r="B98" s="347">
        <v>2000000</v>
      </c>
      <c r="C98" s="344">
        <f t="shared" si="3"/>
        <v>2100000</v>
      </c>
      <c r="D98" s="344">
        <f t="shared" si="3"/>
        <v>2205000</v>
      </c>
    </row>
    <row r="99" spans="1:4" s="345" customFormat="1" ht="15.5">
      <c r="A99" s="346" t="s">
        <v>700</v>
      </c>
      <c r="B99" s="346">
        <v>1000000</v>
      </c>
      <c r="C99" s="347">
        <f t="shared" si="3"/>
        <v>1050000</v>
      </c>
      <c r="D99" s="347">
        <f t="shared" si="3"/>
        <v>1102500</v>
      </c>
    </row>
    <row r="100" spans="1:4" s="345" customFormat="1" ht="15.5">
      <c r="A100" s="346" t="s">
        <v>756</v>
      </c>
      <c r="B100" s="346">
        <v>1000000</v>
      </c>
      <c r="C100" s="347">
        <f t="shared" si="3"/>
        <v>1050000</v>
      </c>
      <c r="D100" s="347">
        <f t="shared" si="3"/>
        <v>1102500</v>
      </c>
    </row>
    <row r="101" spans="1:4" s="345" customFormat="1" ht="15.5">
      <c r="A101" s="347" t="s">
        <v>40</v>
      </c>
      <c r="B101" s="347">
        <v>1000000</v>
      </c>
      <c r="C101" s="347">
        <f t="shared" si="3"/>
        <v>1050000</v>
      </c>
      <c r="D101" s="347">
        <f t="shared" si="3"/>
        <v>1102500</v>
      </c>
    </row>
    <row r="102" spans="1:4" s="345" customFormat="1" ht="15.5">
      <c r="A102" s="344" t="s">
        <v>47</v>
      </c>
      <c r="B102" s="344">
        <f>B103+B104</f>
        <v>1000000</v>
      </c>
      <c r="C102" s="344">
        <f t="shared" si="3"/>
        <v>1050000</v>
      </c>
      <c r="D102" s="344">
        <f t="shared" si="3"/>
        <v>1102500</v>
      </c>
    </row>
    <row r="103" spans="1:4" s="345" customFormat="1" ht="15.5">
      <c r="A103" s="346" t="s">
        <v>701</v>
      </c>
      <c r="B103" s="346">
        <v>500000</v>
      </c>
      <c r="C103" s="347">
        <f t="shared" si="3"/>
        <v>525000</v>
      </c>
      <c r="D103" s="347">
        <f t="shared" si="3"/>
        <v>551250</v>
      </c>
    </row>
    <row r="104" spans="1:4" s="345" customFormat="1" ht="15.5">
      <c r="A104" s="346" t="s">
        <v>702</v>
      </c>
      <c r="B104" s="346">
        <v>500000</v>
      </c>
      <c r="C104" s="347">
        <f t="shared" si="3"/>
        <v>525000</v>
      </c>
      <c r="D104" s="347">
        <f t="shared" si="3"/>
        <v>551250</v>
      </c>
    </row>
    <row r="105" spans="1:4" s="345" customFormat="1" ht="15.5">
      <c r="A105" s="344" t="s">
        <v>49</v>
      </c>
      <c r="B105" s="344">
        <f>B106+B107</f>
        <v>2500000</v>
      </c>
      <c r="C105" s="344">
        <f t="shared" si="3"/>
        <v>2625000</v>
      </c>
      <c r="D105" s="344">
        <f t="shared" si="3"/>
        <v>2756250</v>
      </c>
    </row>
    <row r="106" spans="1:4" s="345" customFormat="1" ht="15.5">
      <c r="A106" s="346" t="s">
        <v>760</v>
      </c>
      <c r="B106" s="346">
        <v>2000000</v>
      </c>
      <c r="C106" s="347">
        <f t="shared" si="3"/>
        <v>2100000</v>
      </c>
      <c r="D106" s="347">
        <f t="shared" si="3"/>
        <v>2205000</v>
      </c>
    </row>
    <row r="107" spans="1:4" s="345" customFormat="1" ht="15.5">
      <c r="A107" s="346" t="s">
        <v>761</v>
      </c>
      <c r="B107" s="346">
        <v>500000</v>
      </c>
      <c r="C107" s="347">
        <f t="shared" si="3"/>
        <v>525000</v>
      </c>
      <c r="D107" s="347">
        <f t="shared" si="3"/>
        <v>551250</v>
      </c>
    </row>
    <row r="108" spans="1:4" s="345" customFormat="1" ht="15.5">
      <c r="A108" s="344" t="s">
        <v>55</v>
      </c>
      <c r="B108" s="344">
        <f>B109</f>
        <v>800000</v>
      </c>
      <c r="C108" s="344">
        <f t="shared" si="3"/>
        <v>840000</v>
      </c>
      <c r="D108" s="344">
        <f t="shared" si="3"/>
        <v>882000</v>
      </c>
    </row>
    <row r="109" spans="1:4" s="345" customFormat="1" ht="15.5">
      <c r="A109" s="346" t="s">
        <v>99</v>
      </c>
      <c r="B109" s="346">
        <v>800000</v>
      </c>
      <c r="C109" s="347">
        <f t="shared" si="3"/>
        <v>840000</v>
      </c>
      <c r="D109" s="347">
        <f t="shared" si="3"/>
        <v>882000</v>
      </c>
    </row>
    <row r="110" spans="1:4" s="345" customFormat="1" ht="15.5">
      <c r="A110" s="344" t="s">
        <v>58</v>
      </c>
      <c r="B110" s="344">
        <f>B111</f>
        <v>2000000</v>
      </c>
      <c r="C110" s="344">
        <f t="shared" si="3"/>
        <v>2100000</v>
      </c>
      <c r="D110" s="344">
        <f t="shared" si="3"/>
        <v>2205000</v>
      </c>
    </row>
    <row r="111" spans="1:4" s="345" customFormat="1" ht="15.5">
      <c r="A111" s="346" t="s">
        <v>59</v>
      </c>
      <c r="B111" s="346">
        <v>2000000</v>
      </c>
      <c r="C111" s="347">
        <f t="shared" si="3"/>
        <v>2100000</v>
      </c>
      <c r="D111" s="347">
        <f t="shared" si="3"/>
        <v>2205000</v>
      </c>
    </row>
    <row r="112" spans="1:4" s="345" customFormat="1" ht="15.5">
      <c r="A112" s="344" t="s">
        <v>60</v>
      </c>
      <c r="B112" s="344">
        <f>B113+B114+B115</f>
        <v>700000</v>
      </c>
      <c r="C112" s="344">
        <f t="shared" si="3"/>
        <v>735000</v>
      </c>
      <c r="D112" s="344">
        <f t="shared" si="3"/>
        <v>771750</v>
      </c>
    </row>
    <row r="113" spans="1:6" s="345" customFormat="1" ht="15.5">
      <c r="A113" s="346" t="s">
        <v>54</v>
      </c>
      <c r="B113" s="346">
        <v>200000</v>
      </c>
      <c r="C113" s="347">
        <f t="shared" si="3"/>
        <v>210000</v>
      </c>
      <c r="D113" s="347">
        <f t="shared" si="3"/>
        <v>220500</v>
      </c>
    </row>
    <row r="114" spans="1:6" s="345" customFormat="1" ht="15.5">
      <c r="A114" s="346" t="s">
        <v>802</v>
      </c>
      <c r="B114" s="346">
        <v>500000</v>
      </c>
      <c r="C114" s="347">
        <f t="shared" si="3"/>
        <v>525000</v>
      </c>
      <c r="D114" s="347">
        <f t="shared" si="3"/>
        <v>551250</v>
      </c>
    </row>
    <row r="115" spans="1:6" s="345" customFormat="1" ht="15.5">
      <c r="A115" s="347" t="s">
        <v>773</v>
      </c>
      <c r="B115" s="347"/>
      <c r="C115" s="347">
        <f t="shared" si="3"/>
        <v>0</v>
      </c>
      <c r="D115" s="347">
        <f t="shared" si="3"/>
        <v>0</v>
      </c>
    </row>
    <row r="116" spans="1:6" s="345" customFormat="1" ht="15.5">
      <c r="A116" s="344" t="s">
        <v>64</v>
      </c>
      <c r="B116" s="344">
        <f>B117</f>
        <v>500000</v>
      </c>
      <c r="C116" s="344">
        <f t="shared" si="3"/>
        <v>525000</v>
      </c>
      <c r="D116" s="344">
        <f t="shared" si="3"/>
        <v>551250</v>
      </c>
    </row>
    <row r="117" spans="1:6" s="345" customFormat="1" ht="15.5">
      <c r="A117" s="346" t="s">
        <v>65</v>
      </c>
      <c r="B117" s="346">
        <v>500000</v>
      </c>
      <c r="C117" s="347">
        <f t="shared" si="3"/>
        <v>525000</v>
      </c>
      <c r="D117" s="347">
        <f t="shared" si="3"/>
        <v>551250</v>
      </c>
    </row>
    <row r="118" spans="1:6" s="345" customFormat="1" ht="15.5">
      <c r="A118" s="344" t="s">
        <v>112</v>
      </c>
      <c r="B118" s="344">
        <f>B119+B120+B121+B122+B123</f>
        <v>0</v>
      </c>
      <c r="C118" s="344">
        <f t="shared" si="3"/>
        <v>0</v>
      </c>
      <c r="D118" s="344">
        <f t="shared" si="3"/>
        <v>0</v>
      </c>
    </row>
    <row r="119" spans="1:6" s="345" customFormat="1" ht="15.5">
      <c r="A119" s="347" t="s">
        <v>113</v>
      </c>
      <c r="B119" s="347">
        <v>0</v>
      </c>
      <c r="C119" s="347">
        <f t="shared" si="3"/>
        <v>0</v>
      </c>
      <c r="D119" s="347">
        <f t="shared" si="3"/>
        <v>0</v>
      </c>
    </row>
    <row r="120" spans="1:6" ht="15.5">
      <c r="A120" s="347" t="s">
        <v>66</v>
      </c>
      <c r="B120" s="347"/>
      <c r="C120" s="347">
        <f t="shared" si="3"/>
        <v>0</v>
      </c>
      <c r="D120" s="347">
        <f t="shared" si="3"/>
        <v>0</v>
      </c>
    </row>
    <row r="121" spans="1:6" ht="15.5">
      <c r="A121" s="347" t="s">
        <v>807</v>
      </c>
      <c r="B121" s="347">
        <v>0</v>
      </c>
      <c r="C121" s="347">
        <f t="shared" si="3"/>
        <v>0</v>
      </c>
      <c r="D121" s="347">
        <f t="shared" si="3"/>
        <v>0</v>
      </c>
    </row>
    <row r="122" spans="1:6" ht="15.5">
      <c r="A122" s="347" t="s">
        <v>142</v>
      </c>
      <c r="B122" s="347"/>
      <c r="C122" s="347">
        <f t="shared" si="3"/>
        <v>0</v>
      </c>
      <c r="D122" s="347">
        <f t="shared" si="3"/>
        <v>0</v>
      </c>
    </row>
    <row r="123" spans="1:6" ht="15.5">
      <c r="A123" s="347" t="s">
        <v>808</v>
      </c>
      <c r="B123" s="347"/>
      <c r="C123" s="347">
        <f t="shared" si="3"/>
        <v>0</v>
      </c>
      <c r="D123" s="347">
        <f t="shared" si="3"/>
        <v>0</v>
      </c>
    </row>
    <row r="124" spans="1:6" ht="15.5">
      <c r="A124" s="344" t="s">
        <v>115</v>
      </c>
      <c r="B124" s="344">
        <f>B125+B126</f>
        <v>0</v>
      </c>
      <c r="C124" s="344">
        <f t="shared" si="3"/>
        <v>0</v>
      </c>
      <c r="D124" s="344">
        <f t="shared" si="3"/>
        <v>0</v>
      </c>
    </row>
    <row r="125" spans="1:6" ht="15.5">
      <c r="A125" s="354" t="s">
        <v>69</v>
      </c>
      <c r="B125" s="354">
        <v>0</v>
      </c>
      <c r="C125" s="347">
        <f t="shared" si="3"/>
        <v>0</v>
      </c>
      <c r="D125" s="347">
        <f t="shared" si="3"/>
        <v>0</v>
      </c>
    </row>
    <row r="126" spans="1:6" ht="15.5">
      <c r="A126" s="354" t="s">
        <v>70</v>
      </c>
      <c r="B126" s="354"/>
      <c r="C126" s="347">
        <f t="shared" si="3"/>
        <v>0</v>
      </c>
      <c r="D126" s="347">
        <f t="shared" si="3"/>
        <v>0</v>
      </c>
    </row>
    <row r="127" spans="1:6" ht="15.5">
      <c r="A127" s="351" t="s">
        <v>6</v>
      </c>
      <c r="B127" s="351">
        <f>B95+B97+B105+B108+B110+B112+B116+B124+B118+B102</f>
        <v>12500000</v>
      </c>
      <c r="C127" s="351">
        <f>C95+C97+C105+C108+C110+C112+C116</f>
        <v>12075000</v>
      </c>
      <c r="D127" s="351">
        <f>D95+D97+D105+D108+D110+D112+D116</f>
        <v>12678750</v>
      </c>
    </row>
    <row r="128" spans="1:6" ht="15.5">
      <c r="A128" s="351" t="s">
        <v>672</v>
      </c>
      <c r="B128" s="351">
        <f>B127+B93+B72</f>
        <v>177205250</v>
      </c>
      <c r="C128" s="355"/>
      <c r="D128" s="355"/>
      <c r="F128" s="356">
        <f>191705250-B128</f>
        <v>14500000</v>
      </c>
    </row>
    <row r="129" spans="1:4" ht="62">
      <c r="A129" s="341" t="s">
        <v>817</v>
      </c>
      <c r="B129" s="341" t="s">
        <v>787</v>
      </c>
      <c r="C129" s="342" t="s">
        <v>788</v>
      </c>
      <c r="D129" s="342" t="s">
        <v>789</v>
      </c>
    </row>
    <row r="130" spans="1:4" ht="15.5">
      <c r="A130" s="344" t="s">
        <v>32</v>
      </c>
      <c r="B130" s="344">
        <f>B131+B132</f>
        <v>500000</v>
      </c>
      <c r="C130" s="344">
        <f t="shared" ref="C130:D183" si="4">1.05*B130</f>
        <v>525000</v>
      </c>
      <c r="D130" s="344">
        <f t="shared" si="4"/>
        <v>551250</v>
      </c>
    </row>
    <row r="131" spans="1:4" ht="15.5">
      <c r="A131" s="354" t="s">
        <v>698</v>
      </c>
      <c r="B131" s="354">
        <v>500000</v>
      </c>
      <c r="C131" s="347">
        <f t="shared" si="4"/>
        <v>525000</v>
      </c>
      <c r="D131" s="347">
        <f t="shared" si="4"/>
        <v>551250</v>
      </c>
    </row>
    <row r="132" spans="1:4" ht="15.5">
      <c r="A132" s="347" t="s">
        <v>793</v>
      </c>
      <c r="B132" s="347"/>
      <c r="C132" s="347">
        <f t="shared" si="4"/>
        <v>0</v>
      </c>
      <c r="D132" s="347">
        <f t="shared" si="4"/>
        <v>0</v>
      </c>
    </row>
    <row r="133" spans="1:4" ht="15.5">
      <c r="A133" s="344" t="s">
        <v>36</v>
      </c>
      <c r="B133" s="344">
        <f>B134+B135+B136+B137+B138</f>
        <v>9000000</v>
      </c>
      <c r="C133" s="344">
        <f t="shared" si="4"/>
        <v>9450000</v>
      </c>
      <c r="D133" s="344">
        <f t="shared" si="4"/>
        <v>9922500</v>
      </c>
    </row>
    <row r="134" spans="1:4" ht="15.5">
      <c r="A134" s="354" t="s">
        <v>699</v>
      </c>
      <c r="B134" s="354">
        <v>2000000</v>
      </c>
      <c r="C134" s="347">
        <f t="shared" si="4"/>
        <v>2100000</v>
      </c>
      <c r="D134" s="347">
        <f t="shared" si="4"/>
        <v>2205000</v>
      </c>
    </row>
    <row r="135" spans="1:4" ht="15.5">
      <c r="A135" s="354" t="s">
        <v>794</v>
      </c>
      <c r="B135" s="354">
        <v>2000000</v>
      </c>
      <c r="C135" s="347">
        <f t="shared" si="4"/>
        <v>2100000</v>
      </c>
      <c r="D135" s="347">
        <f t="shared" si="4"/>
        <v>2205000</v>
      </c>
    </row>
    <row r="136" spans="1:4" ht="15.5">
      <c r="A136" s="346" t="s">
        <v>700</v>
      </c>
      <c r="B136" s="346">
        <v>2000000</v>
      </c>
      <c r="C136" s="347">
        <f t="shared" si="4"/>
        <v>2100000</v>
      </c>
      <c r="D136" s="347">
        <f t="shared" si="4"/>
        <v>2205000</v>
      </c>
    </row>
    <row r="137" spans="1:4" ht="15.5">
      <c r="A137" s="347" t="s">
        <v>39</v>
      </c>
      <c r="B137" s="347">
        <v>1000000</v>
      </c>
      <c r="C137" s="347">
        <f t="shared" si="4"/>
        <v>1050000</v>
      </c>
      <c r="D137" s="347">
        <f t="shared" si="4"/>
        <v>1102500</v>
      </c>
    </row>
    <row r="138" spans="1:4" s="345" customFormat="1" ht="15.5">
      <c r="A138" s="347" t="s">
        <v>40</v>
      </c>
      <c r="B138" s="347">
        <v>2000000</v>
      </c>
      <c r="C138" s="347">
        <f t="shared" si="4"/>
        <v>2100000</v>
      </c>
      <c r="D138" s="347">
        <f t="shared" si="4"/>
        <v>2205000</v>
      </c>
    </row>
    <row r="139" spans="1:4" ht="15.5">
      <c r="A139" s="344" t="s">
        <v>89</v>
      </c>
      <c r="B139" s="344">
        <f>B140+B141+B142+B143</f>
        <v>5000000</v>
      </c>
      <c r="C139" s="344">
        <f t="shared" si="4"/>
        <v>5250000</v>
      </c>
      <c r="D139" s="344">
        <f t="shared" si="4"/>
        <v>5512500</v>
      </c>
    </row>
    <row r="140" spans="1:4" ht="15.5">
      <c r="A140" s="347" t="s">
        <v>90</v>
      </c>
      <c r="B140" s="347">
        <v>1000000</v>
      </c>
      <c r="C140" s="347">
        <f t="shared" si="4"/>
        <v>1050000</v>
      </c>
      <c r="D140" s="347">
        <f t="shared" si="4"/>
        <v>1102500</v>
      </c>
    </row>
    <row r="141" spans="1:4" ht="15.5">
      <c r="A141" s="347" t="s">
        <v>673</v>
      </c>
      <c r="B141" s="347">
        <v>2000000</v>
      </c>
      <c r="C141" s="347">
        <f t="shared" si="4"/>
        <v>2100000</v>
      </c>
      <c r="D141" s="347">
        <f t="shared" si="4"/>
        <v>2205000</v>
      </c>
    </row>
    <row r="142" spans="1:4" ht="15.5">
      <c r="A142" s="347" t="s">
        <v>41</v>
      </c>
      <c r="B142" s="347">
        <v>1000000</v>
      </c>
      <c r="C142" s="347">
        <f t="shared" si="4"/>
        <v>1050000</v>
      </c>
      <c r="D142" s="347">
        <f t="shared" si="4"/>
        <v>1102500</v>
      </c>
    </row>
    <row r="143" spans="1:4" ht="15.5">
      <c r="A143" s="347" t="s">
        <v>818</v>
      </c>
      <c r="B143" s="347">
        <v>1000000</v>
      </c>
      <c r="C143" s="347">
        <f t="shared" si="4"/>
        <v>1050000</v>
      </c>
      <c r="D143" s="347">
        <f t="shared" si="4"/>
        <v>1102500</v>
      </c>
    </row>
    <row r="144" spans="1:4" ht="15.5">
      <c r="A144" s="344" t="s">
        <v>42</v>
      </c>
      <c r="B144" s="344">
        <f>B145+B146+B147+B148</f>
        <v>2000000</v>
      </c>
      <c r="C144" s="344">
        <f t="shared" si="4"/>
        <v>2100000</v>
      </c>
      <c r="D144" s="344">
        <f t="shared" si="4"/>
        <v>2205000</v>
      </c>
    </row>
    <row r="145" spans="1:4" ht="15.5">
      <c r="A145" s="354" t="s">
        <v>772</v>
      </c>
      <c r="B145" s="354"/>
      <c r="C145" s="347">
        <f t="shared" si="4"/>
        <v>0</v>
      </c>
      <c r="D145" s="347">
        <f t="shared" si="4"/>
        <v>0</v>
      </c>
    </row>
    <row r="146" spans="1:4" ht="15.5">
      <c r="A146" s="357" t="s">
        <v>44</v>
      </c>
      <c r="B146" s="357">
        <v>2000000</v>
      </c>
      <c r="C146" s="347">
        <f t="shared" si="4"/>
        <v>2100000</v>
      </c>
      <c r="D146" s="347">
        <f t="shared" si="4"/>
        <v>2205000</v>
      </c>
    </row>
    <row r="147" spans="1:4" ht="15.5">
      <c r="A147" s="347" t="s">
        <v>45</v>
      </c>
      <c r="B147" s="347">
        <v>0</v>
      </c>
      <c r="C147" s="347">
        <f t="shared" si="4"/>
        <v>0</v>
      </c>
      <c r="D147" s="347">
        <f t="shared" si="4"/>
        <v>0</v>
      </c>
    </row>
    <row r="148" spans="1:4" ht="15.5">
      <c r="A148" s="347" t="s">
        <v>46</v>
      </c>
      <c r="B148" s="347"/>
      <c r="C148" s="347">
        <f t="shared" si="4"/>
        <v>0</v>
      </c>
      <c r="D148" s="347">
        <f t="shared" si="4"/>
        <v>0</v>
      </c>
    </row>
    <row r="149" spans="1:4" ht="15.5">
      <c r="A149" s="344" t="s">
        <v>718</v>
      </c>
      <c r="B149" s="344">
        <f>B150+B151</f>
        <v>0</v>
      </c>
      <c r="C149" s="344">
        <f t="shared" si="4"/>
        <v>0</v>
      </c>
      <c r="D149" s="344">
        <f t="shared" si="4"/>
        <v>0</v>
      </c>
    </row>
    <row r="150" spans="1:4" ht="15.5">
      <c r="A150" s="346" t="s">
        <v>719</v>
      </c>
      <c r="B150" s="346"/>
      <c r="C150" s="344">
        <f t="shared" si="4"/>
        <v>0</v>
      </c>
      <c r="D150" s="344">
        <f t="shared" si="4"/>
        <v>0</v>
      </c>
    </row>
    <row r="151" spans="1:4" ht="15.5">
      <c r="A151" s="347" t="s">
        <v>796</v>
      </c>
      <c r="B151" s="347">
        <v>0</v>
      </c>
      <c r="C151" s="344">
        <f t="shared" si="4"/>
        <v>0</v>
      </c>
      <c r="D151" s="344">
        <f t="shared" si="4"/>
        <v>0</v>
      </c>
    </row>
    <row r="152" spans="1:4" ht="15.5">
      <c r="A152" s="344" t="s">
        <v>47</v>
      </c>
      <c r="B152" s="344">
        <f>B153+B154+B156+B157</f>
        <v>4000000</v>
      </c>
      <c r="C152" s="344">
        <f t="shared" si="4"/>
        <v>4200000</v>
      </c>
      <c r="D152" s="344">
        <f t="shared" si="4"/>
        <v>4410000</v>
      </c>
    </row>
    <row r="153" spans="1:4" ht="15.5">
      <c r="A153" s="346" t="s">
        <v>701</v>
      </c>
      <c r="B153" s="346">
        <v>2000000</v>
      </c>
      <c r="C153" s="347">
        <f t="shared" si="4"/>
        <v>2100000</v>
      </c>
      <c r="D153" s="347">
        <f t="shared" si="4"/>
        <v>2205000</v>
      </c>
    </row>
    <row r="154" spans="1:4" ht="15.5">
      <c r="A154" s="346" t="s">
        <v>702</v>
      </c>
      <c r="B154" s="346">
        <v>2000000</v>
      </c>
      <c r="C154" s="347">
        <f t="shared" si="4"/>
        <v>2100000</v>
      </c>
      <c r="D154" s="347">
        <f t="shared" si="4"/>
        <v>2205000</v>
      </c>
    </row>
    <row r="155" spans="1:4" ht="15.5">
      <c r="A155" s="347" t="s">
        <v>797</v>
      </c>
      <c r="B155" s="347">
        <v>0</v>
      </c>
      <c r="C155" s="347">
        <f t="shared" si="4"/>
        <v>0</v>
      </c>
      <c r="D155" s="347">
        <f t="shared" si="4"/>
        <v>0</v>
      </c>
    </row>
    <row r="156" spans="1:4" ht="15.5">
      <c r="A156" s="347" t="s">
        <v>798</v>
      </c>
      <c r="B156" s="347">
        <v>0</v>
      </c>
      <c r="C156" s="347">
        <f t="shared" si="4"/>
        <v>0</v>
      </c>
      <c r="D156" s="347">
        <f t="shared" si="4"/>
        <v>0</v>
      </c>
    </row>
    <row r="157" spans="1:4" ht="15.5">
      <c r="A157" s="347" t="s">
        <v>703</v>
      </c>
      <c r="B157" s="347">
        <v>0</v>
      </c>
      <c r="C157" s="347">
        <f t="shared" si="4"/>
        <v>0</v>
      </c>
      <c r="D157" s="347">
        <f t="shared" si="4"/>
        <v>0</v>
      </c>
    </row>
    <row r="158" spans="1:4" ht="15.5">
      <c r="A158" s="344" t="s">
        <v>49</v>
      </c>
      <c r="B158" s="344">
        <f>B159+B160</f>
        <v>4000000</v>
      </c>
      <c r="C158" s="344">
        <f t="shared" si="4"/>
        <v>4200000</v>
      </c>
      <c r="D158" s="344">
        <f t="shared" si="4"/>
        <v>4410000</v>
      </c>
    </row>
    <row r="159" spans="1:4" ht="15.5">
      <c r="A159" s="346" t="s">
        <v>799</v>
      </c>
      <c r="B159" s="346">
        <v>3000000</v>
      </c>
      <c r="C159" s="347">
        <f t="shared" si="4"/>
        <v>3150000</v>
      </c>
      <c r="D159" s="347">
        <f t="shared" si="4"/>
        <v>3307500</v>
      </c>
    </row>
    <row r="160" spans="1:4" ht="15.5">
      <c r="A160" s="346" t="s">
        <v>761</v>
      </c>
      <c r="B160" s="346">
        <v>1000000</v>
      </c>
      <c r="C160" s="347">
        <f t="shared" si="4"/>
        <v>1050000</v>
      </c>
      <c r="D160" s="347">
        <f t="shared" si="4"/>
        <v>1102500</v>
      </c>
    </row>
    <row r="161" spans="1:4" ht="15.5">
      <c r="A161" s="344" t="s">
        <v>677</v>
      </c>
      <c r="B161" s="344">
        <v>0</v>
      </c>
      <c r="C161" s="344">
        <f t="shared" si="4"/>
        <v>0</v>
      </c>
      <c r="D161" s="344">
        <f t="shared" si="4"/>
        <v>0</v>
      </c>
    </row>
    <row r="162" spans="1:4" ht="15.5">
      <c r="A162" s="346" t="s">
        <v>720</v>
      </c>
      <c r="B162" s="346"/>
      <c r="C162" s="344">
        <f t="shared" si="4"/>
        <v>0</v>
      </c>
      <c r="D162" s="344">
        <f t="shared" si="4"/>
        <v>0</v>
      </c>
    </row>
    <row r="163" spans="1:4" ht="15.5">
      <c r="A163" s="344" t="s">
        <v>55</v>
      </c>
      <c r="B163" s="344">
        <f>B164+B165</f>
        <v>3000000</v>
      </c>
      <c r="C163" s="344">
        <f t="shared" si="4"/>
        <v>3150000</v>
      </c>
      <c r="D163" s="344">
        <f t="shared" si="4"/>
        <v>3307500</v>
      </c>
    </row>
    <row r="164" spans="1:4" ht="15.5">
      <c r="A164" s="346" t="s">
        <v>99</v>
      </c>
      <c r="B164" s="346">
        <v>2000000</v>
      </c>
      <c r="C164" s="347">
        <f t="shared" si="4"/>
        <v>2100000</v>
      </c>
      <c r="D164" s="347">
        <f t="shared" si="4"/>
        <v>2205000</v>
      </c>
    </row>
    <row r="165" spans="1:4" ht="15.5">
      <c r="A165" s="347" t="s">
        <v>704</v>
      </c>
      <c r="B165" s="347">
        <v>1000000</v>
      </c>
      <c r="C165" s="347">
        <f t="shared" si="4"/>
        <v>1050000</v>
      </c>
      <c r="D165" s="347">
        <f t="shared" si="4"/>
        <v>1102500</v>
      </c>
    </row>
    <row r="166" spans="1:4" ht="15.5">
      <c r="A166" s="344" t="s">
        <v>58</v>
      </c>
      <c r="B166" s="344">
        <f>B167</f>
        <v>5000000</v>
      </c>
      <c r="C166" s="344">
        <f t="shared" si="4"/>
        <v>5250000</v>
      </c>
      <c r="D166" s="344">
        <f t="shared" si="4"/>
        <v>5512500</v>
      </c>
    </row>
    <row r="167" spans="1:4" ht="15.5">
      <c r="A167" s="346" t="s">
        <v>814</v>
      </c>
      <c r="B167" s="346">
        <v>5000000</v>
      </c>
      <c r="C167" s="347">
        <f t="shared" si="4"/>
        <v>5250000</v>
      </c>
      <c r="D167" s="347">
        <f t="shared" si="4"/>
        <v>5512500</v>
      </c>
    </row>
    <row r="168" spans="1:4" ht="15.5">
      <c r="A168" s="344" t="s">
        <v>60</v>
      </c>
      <c r="B168" s="344">
        <f>B169+B170+B171+B172+B173</f>
        <v>4908450</v>
      </c>
      <c r="C168" s="344">
        <f t="shared" si="4"/>
        <v>5153872.5</v>
      </c>
      <c r="D168" s="344">
        <f t="shared" si="4"/>
        <v>5411566.125</v>
      </c>
    </row>
    <row r="169" spans="1:4" ht="15.5">
      <c r="A169" s="346" t="s">
        <v>54</v>
      </c>
      <c r="B169" s="346">
        <v>608450</v>
      </c>
      <c r="C169" s="347">
        <f t="shared" si="4"/>
        <v>638872.5</v>
      </c>
      <c r="D169" s="347">
        <f t="shared" si="4"/>
        <v>670816.125</v>
      </c>
    </row>
    <row r="170" spans="1:4" ht="15.5">
      <c r="A170" s="346" t="s">
        <v>815</v>
      </c>
      <c r="B170" s="346">
        <v>2800000</v>
      </c>
      <c r="C170" s="347">
        <f t="shared" si="4"/>
        <v>2940000</v>
      </c>
      <c r="D170" s="347">
        <f t="shared" si="4"/>
        <v>3087000</v>
      </c>
    </row>
    <row r="171" spans="1:4" ht="15.5">
      <c r="A171" s="347" t="s">
        <v>61</v>
      </c>
      <c r="B171" s="347">
        <v>0</v>
      </c>
      <c r="C171" s="347">
        <f t="shared" si="4"/>
        <v>0</v>
      </c>
      <c r="D171" s="347">
        <f t="shared" si="4"/>
        <v>0</v>
      </c>
    </row>
    <row r="172" spans="1:4" ht="15.5">
      <c r="A172" s="347" t="s">
        <v>717</v>
      </c>
      <c r="B172" s="347">
        <v>0</v>
      </c>
      <c r="C172" s="347">
        <f t="shared" si="4"/>
        <v>0</v>
      </c>
      <c r="D172" s="347">
        <f t="shared" si="4"/>
        <v>0</v>
      </c>
    </row>
    <row r="173" spans="1:4" ht="15.5">
      <c r="A173" s="347" t="s">
        <v>773</v>
      </c>
      <c r="B173" s="347">
        <v>1500000</v>
      </c>
      <c r="C173" s="347">
        <f t="shared" si="4"/>
        <v>1575000</v>
      </c>
      <c r="D173" s="347">
        <f t="shared" si="4"/>
        <v>1653750</v>
      </c>
    </row>
    <row r="174" spans="1:4" ht="15.5">
      <c r="A174" s="344" t="s">
        <v>64</v>
      </c>
      <c r="B174" s="344">
        <f>B175</f>
        <v>3000000</v>
      </c>
      <c r="C174" s="344">
        <f t="shared" si="4"/>
        <v>3150000</v>
      </c>
      <c r="D174" s="344">
        <f t="shared" si="4"/>
        <v>3307500</v>
      </c>
    </row>
    <row r="175" spans="1:4" ht="15.5">
      <c r="A175" s="346" t="s">
        <v>65</v>
      </c>
      <c r="B175" s="346">
        <v>3000000</v>
      </c>
      <c r="C175" s="347">
        <f t="shared" si="4"/>
        <v>3150000</v>
      </c>
      <c r="D175" s="347">
        <f t="shared" si="4"/>
        <v>3307500</v>
      </c>
    </row>
    <row r="176" spans="1:4" ht="15.5">
      <c r="A176" s="344" t="s">
        <v>112</v>
      </c>
      <c r="B176" s="344">
        <f>B177</f>
        <v>0</v>
      </c>
      <c r="C176" s="344">
        <f t="shared" si="4"/>
        <v>0</v>
      </c>
      <c r="D176" s="344">
        <f t="shared" si="4"/>
        <v>0</v>
      </c>
    </row>
    <row r="177" spans="1:4" ht="15.5">
      <c r="A177" s="346" t="s">
        <v>819</v>
      </c>
      <c r="B177" s="346"/>
      <c r="C177" s="347">
        <f t="shared" si="4"/>
        <v>0</v>
      </c>
      <c r="D177" s="347">
        <f t="shared" si="4"/>
        <v>0</v>
      </c>
    </row>
    <row r="178" spans="1:4" ht="15.5">
      <c r="A178" s="344" t="s">
        <v>115</v>
      </c>
      <c r="B178" s="344">
        <f>B179+B180+B181+B182</f>
        <v>0</v>
      </c>
      <c r="C178" s="344">
        <f t="shared" si="4"/>
        <v>0</v>
      </c>
      <c r="D178" s="344">
        <f t="shared" si="4"/>
        <v>0</v>
      </c>
    </row>
    <row r="179" spans="1:4" ht="15.5">
      <c r="A179" s="347" t="s">
        <v>69</v>
      </c>
      <c r="B179" s="347"/>
      <c r="C179" s="347">
        <f t="shared" si="4"/>
        <v>0</v>
      </c>
      <c r="D179" s="347">
        <f t="shared" si="4"/>
        <v>0</v>
      </c>
    </row>
    <row r="180" spans="1:4" ht="15.5">
      <c r="A180" s="347" t="s">
        <v>820</v>
      </c>
      <c r="B180" s="347"/>
      <c r="C180" s="347">
        <f t="shared" si="4"/>
        <v>0</v>
      </c>
      <c r="D180" s="347">
        <f t="shared" si="4"/>
        <v>0</v>
      </c>
    </row>
    <row r="181" spans="1:4" ht="15.5">
      <c r="A181" s="347" t="s">
        <v>811</v>
      </c>
      <c r="B181" s="347"/>
      <c r="C181" s="347">
        <f t="shared" si="4"/>
        <v>0</v>
      </c>
      <c r="D181" s="347">
        <f t="shared" si="4"/>
        <v>0</v>
      </c>
    </row>
    <row r="182" spans="1:4" ht="15.5">
      <c r="A182" s="347" t="s">
        <v>821</v>
      </c>
      <c r="B182" s="347"/>
      <c r="C182" s="347">
        <f t="shared" si="4"/>
        <v>0</v>
      </c>
      <c r="D182" s="347">
        <f t="shared" si="4"/>
        <v>0</v>
      </c>
    </row>
    <row r="183" spans="1:4" ht="15.5">
      <c r="A183" s="344" t="s">
        <v>412</v>
      </c>
      <c r="B183" s="344">
        <f>B178+B176+B174+B168+B166+B163+B158+B152+B149+B144+B139+B133+B130</f>
        <v>40408450</v>
      </c>
      <c r="C183" s="344">
        <f t="shared" si="4"/>
        <v>42428872.5</v>
      </c>
      <c r="D183" s="344">
        <f t="shared" si="4"/>
        <v>44550316.125</v>
      </c>
    </row>
    <row r="185" spans="1:4">
      <c r="A185" s="352"/>
      <c r="B185" s="352">
        <f>40408450-B183</f>
        <v>0</v>
      </c>
    </row>
    <row r="186" spans="1:4">
      <c r="A186" s="352"/>
      <c r="B186" s="352">
        <f>B183+B128</f>
        <v>217613700</v>
      </c>
    </row>
  </sheetData>
  <protectedRanges>
    <protectedRange sqref="B37" name="Range1_18_1_1_1_1_1_2_1_1_1_3_2_1_1_1"/>
    <protectedRange sqref="B5" name="Range1_5_1_1_1_1_1_2_1_1_1_3_2_1_1_1_1"/>
    <protectedRange sqref="B25" name="Range1_15_1_1_1_1_1_2_1_1_1_3_2_1_1_1_1"/>
    <protectedRange sqref="B5" name="Range1_5_1_1_1_1_1_2_1_1_1_3_2_1_1_1_2"/>
    <protectedRange sqref="B20" name="Range1_12_1_1_1_1_1_2_1_1_1_3_2_1_1_1"/>
    <protectedRange sqref="B25" name="Range1_15_1_1_1_1_1_2_1_1_1_3_2_1_1_1_2"/>
    <protectedRange sqref="B28" name="Range1_20_1_1_1_1_1_2_1_1_1_3_2_1_1_1"/>
    <protectedRange sqref="B2" name="Range1_4_1_1_1_1_1_2_1_1_1_3_2_1_1_1"/>
    <protectedRange sqref="B5" name="Range1_5_1_1_1_1_1_2_1_1_1_3_2_1_1_1"/>
    <protectedRange sqref="B8" name="Range1_6_1_1_1_1_1_2_1_1_1_3_2_1_1_1"/>
    <protectedRange sqref="B14" name="Range1_8_1_1_1_1_1_2_1_1_1_3_2_1_1_1"/>
    <protectedRange sqref="B20" name="Range1_12_1_1_1_1_1_2_1_1_1_3_2_1_1_1_1"/>
    <protectedRange sqref="B25" name="Range1_15_1_1_1_1_1_2_1_1_1_3_2_1_1_1"/>
    <protectedRange sqref="B34" name="Range1_16_1_2_1_1_1_2_1_1_1_3_2_1_1_1"/>
    <protectedRange sqref="B28" name="Range1_20_1_1_1_1_1_2_1_1_1_3_2_1_1_1_1"/>
    <protectedRange sqref="B37" name="Range1_18_1_1_1_1_1_2_1_1_1_3_2_1_1_1_1"/>
  </protectedRange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37" workbookViewId="0">
      <selection activeCell="E46" sqref="E46"/>
    </sheetView>
  </sheetViews>
  <sheetFormatPr defaultColWidth="9.08984375" defaultRowHeight="15.5"/>
  <cols>
    <col min="1" max="1" width="67.6328125" style="521" customWidth="1"/>
    <col min="2" max="4" width="15.453125" style="111" bestFit="1" customWidth="1"/>
    <col min="5" max="5" width="17.90625" style="111" customWidth="1"/>
    <col min="6" max="6" width="22.6328125" style="111" customWidth="1"/>
    <col min="7" max="7" width="16.6328125" style="111" customWidth="1"/>
    <col min="8" max="16384" width="9.08984375" style="111"/>
  </cols>
  <sheetData>
    <row r="1" spans="1:4">
      <c r="A1" s="763" t="s">
        <v>930</v>
      </c>
      <c r="B1" s="763"/>
      <c r="C1" s="763"/>
      <c r="D1" s="763"/>
    </row>
    <row r="2" spans="1:4" ht="62">
      <c r="A2" s="522" t="s">
        <v>931</v>
      </c>
      <c r="B2" s="353" t="s">
        <v>564</v>
      </c>
      <c r="C2" s="353" t="s">
        <v>565</v>
      </c>
      <c r="D2" s="353" t="s">
        <v>566</v>
      </c>
    </row>
    <row r="3" spans="1:4">
      <c r="A3" s="523" t="s">
        <v>427</v>
      </c>
      <c r="B3" s="383">
        <f>B4+B5</f>
        <v>0</v>
      </c>
      <c r="C3" s="384">
        <f t="shared" ref="C3:D18" si="0">(1.05*B3)</f>
        <v>0</v>
      </c>
      <c r="D3" s="384">
        <f t="shared" si="0"/>
        <v>0</v>
      </c>
    </row>
    <row r="4" spans="1:4">
      <c r="A4" s="524" t="s">
        <v>428</v>
      </c>
      <c r="B4" s="408">
        <v>0</v>
      </c>
      <c r="C4" s="386">
        <f t="shared" si="0"/>
        <v>0</v>
      </c>
      <c r="D4" s="386">
        <f t="shared" si="0"/>
        <v>0</v>
      </c>
    </row>
    <row r="5" spans="1:4">
      <c r="A5" s="525" t="s">
        <v>932</v>
      </c>
      <c r="B5" s="387"/>
      <c r="C5" s="384">
        <f t="shared" si="0"/>
        <v>0</v>
      </c>
      <c r="D5" s="384">
        <f t="shared" si="0"/>
        <v>0</v>
      </c>
    </row>
    <row r="6" spans="1:4">
      <c r="A6" s="523" t="s">
        <v>933</v>
      </c>
      <c r="B6" s="409">
        <f>B7</f>
        <v>0</v>
      </c>
      <c r="C6" s="384">
        <f t="shared" si="0"/>
        <v>0</v>
      </c>
      <c r="D6" s="384">
        <f t="shared" si="0"/>
        <v>0</v>
      </c>
    </row>
    <row r="7" spans="1:4">
      <c r="A7" s="525" t="s">
        <v>934</v>
      </c>
      <c r="B7" s="387">
        <v>0</v>
      </c>
      <c r="C7" s="384">
        <f t="shared" si="0"/>
        <v>0</v>
      </c>
      <c r="D7" s="384">
        <f t="shared" si="0"/>
        <v>0</v>
      </c>
    </row>
    <row r="8" spans="1:4">
      <c r="A8" s="523" t="s">
        <v>189</v>
      </c>
      <c r="B8" s="410">
        <f>B9+B10</f>
        <v>250000</v>
      </c>
      <c r="C8" s="384">
        <f t="shared" si="0"/>
        <v>262500</v>
      </c>
      <c r="D8" s="384">
        <f t="shared" si="0"/>
        <v>275625</v>
      </c>
    </row>
    <row r="9" spans="1:4">
      <c r="A9" s="525" t="s">
        <v>431</v>
      </c>
      <c r="B9" s="411">
        <v>200000</v>
      </c>
      <c r="C9" s="390">
        <f t="shared" si="0"/>
        <v>210000</v>
      </c>
      <c r="D9" s="390">
        <f t="shared" si="0"/>
        <v>220500</v>
      </c>
    </row>
    <row r="10" spans="1:4">
      <c r="A10" s="525" t="s">
        <v>432</v>
      </c>
      <c r="B10" s="411">
        <v>50000</v>
      </c>
      <c r="C10" s="390">
        <f t="shared" si="0"/>
        <v>52500</v>
      </c>
      <c r="D10" s="390">
        <f t="shared" si="0"/>
        <v>55125</v>
      </c>
    </row>
    <row r="11" spans="1:4">
      <c r="A11" s="523" t="s">
        <v>324</v>
      </c>
      <c r="B11" s="412">
        <f>B12+B13+B14</f>
        <v>600000</v>
      </c>
      <c r="C11" s="384">
        <f t="shared" si="0"/>
        <v>630000</v>
      </c>
      <c r="D11" s="384">
        <f t="shared" si="0"/>
        <v>661500</v>
      </c>
    </row>
    <row r="12" spans="1:4">
      <c r="A12" s="524" t="s">
        <v>433</v>
      </c>
      <c r="B12" s="411">
        <v>500000</v>
      </c>
      <c r="C12" s="386">
        <f t="shared" si="0"/>
        <v>525000</v>
      </c>
      <c r="D12" s="386">
        <f t="shared" si="0"/>
        <v>551250</v>
      </c>
    </row>
    <row r="13" spans="1:4">
      <c r="A13" s="524" t="s">
        <v>935</v>
      </c>
      <c r="B13" s="413"/>
      <c r="C13" s="272">
        <f t="shared" si="0"/>
        <v>0</v>
      </c>
      <c r="D13" s="272">
        <f t="shared" si="0"/>
        <v>0</v>
      </c>
    </row>
    <row r="14" spans="1:4">
      <c r="A14" s="524" t="s">
        <v>253</v>
      </c>
      <c r="B14" s="414">
        <v>100000</v>
      </c>
      <c r="C14" s="386">
        <f t="shared" si="0"/>
        <v>105000</v>
      </c>
      <c r="D14" s="386">
        <f t="shared" si="0"/>
        <v>110250</v>
      </c>
    </row>
    <row r="15" spans="1:4" ht="31">
      <c r="A15" s="523" t="s">
        <v>191</v>
      </c>
      <c r="B15" s="412">
        <f>(B16+B17+B18)</f>
        <v>9550986</v>
      </c>
      <c r="C15" s="384">
        <f t="shared" si="0"/>
        <v>10028535.300000001</v>
      </c>
      <c r="D15" s="384">
        <f t="shared" si="0"/>
        <v>10529962.065000001</v>
      </c>
    </row>
    <row r="16" spans="1:4">
      <c r="A16" s="525" t="s">
        <v>936</v>
      </c>
      <c r="B16" s="415">
        <f>2000000+450986+1600000-1500000</f>
        <v>2550986</v>
      </c>
      <c r="C16" s="390">
        <f t="shared" si="0"/>
        <v>2678535.3000000003</v>
      </c>
      <c r="D16" s="390">
        <f t="shared" si="0"/>
        <v>2812462.0650000004</v>
      </c>
    </row>
    <row r="17" spans="1:4">
      <c r="A17" s="525" t="s">
        <v>937</v>
      </c>
      <c r="B17" s="415">
        <f>-2000000+6500000</f>
        <v>4500000</v>
      </c>
      <c r="C17" s="390">
        <f t="shared" si="0"/>
        <v>4725000</v>
      </c>
      <c r="D17" s="390">
        <f t="shared" si="0"/>
        <v>4961250</v>
      </c>
    </row>
    <row r="18" spans="1:4">
      <c r="A18" s="525" t="s">
        <v>437</v>
      </c>
      <c r="B18" s="415">
        <f>3000000+1000000-1500000</f>
        <v>2500000</v>
      </c>
      <c r="C18" s="390">
        <f t="shared" si="0"/>
        <v>2625000</v>
      </c>
      <c r="D18" s="390">
        <f t="shared" si="0"/>
        <v>2756250</v>
      </c>
    </row>
    <row r="19" spans="1:4">
      <c r="A19" s="523" t="s">
        <v>938</v>
      </c>
      <c r="B19" s="416">
        <f>-1500000+9000000</f>
        <v>7500000</v>
      </c>
      <c r="C19" s="384">
        <f t="shared" ref="C19:D34" si="1">(1.05*B19)</f>
        <v>7875000</v>
      </c>
      <c r="D19" s="384">
        <f t="shared" si="1"/>
        <v>8268750</v>
      </c>
    </row>
    <row r="20" spans="1:4" ht="31">
      <c r="A20" s="523" t="s">
        <v>939</v>
      </c>
      <c r="B20" s="412">
        <f>B25+B24+B23+B22+B21</f>
        <v>500000</v>
      </c>
      <c r="C20" s="384">
        <f t="shared" si="1"/>
        <v>525000</v>
      </c>
      <c r="D20" s="384">
        <f t="shared" si="1"/>
        <v>551250</v>
      </c>
    </row>
    <row r="21" spans="1:4">
      <c r="A21" s="526" t="s">
        <v>940</v>
      </c>
      <c r="B21" s="414">
        <f>-300000+500000</f>
        <v>200000</v>
      </c>
      <c r="C21" s="390">
        <f t="shared" si="1"/>
        <v>210000</v>
      </c>
      <c r="D21" s="390">
        <f t="shared" si="1"/>
        <v>220500</v>
      </c>
    </row>
    <row r="22" spans="1:4">
      <c r="A22" s="526" t="s">
        <v>941</v>
      </c>
      <c r="B22" s="414">
        <f>-300000+500000</f>
        <v>200000</v>
      </c>
      <c r="C22" s="390">
        <f t="shared" si="1"/>
        <v>210000</v>
      </c>
      <c r="D22" s="390">
        <f t="shared" si="1"/>
        <v>220500</v>
      </c>
    </row>
    <row r="23" spans="1:4">
      <c r="A23" s="526" t="s">
        <v>942</v>
      </c>
      <c r="B23" s="414">
        <f>-200000+300000</f>
        <v>100000</v>
      </c>
      <c r="C23" s="390">
        <f t="shared" si="1"/>
        <v>105000</v>
      </c>
      <c r="D23" s="390">
        <f t="shared" si="1"/>
        <v>110250</v>
      </c>
    </row>
    <row r="24" spans="1:4">
      <c r="A24" s="526" t="s">
        <v>943</v>
      </c>
      <c r="B24" s="414">
        <f>-200000+200000</f>
        <v>0</v>
      </c>
      <c r="C24" s="384">
        <f t="shared" si="1"/>
        <v>0</v>
      </c>
      <c r="D24" s="384">
        <f t="shared" si="1"/>
        <v>0</v>
      </c>
    </row>
    <row r="25" spans="1:4">
      <c r="A25" s="525" t="s">
        <v>944</v>
      </c>
      <c r="B25" s="414">
        <v>0</v>
      </c>
      <c r="C25" s="384">
        <f t="shared" si="1"/>
        <v>0</v>
      </c>
      <c r="D25" s="384">
        <f t="shared" si="1"/>
        <v>0</v>
      </c>
    </row>
    <row r="26" spans="1:4" ht="31">
      <c r="A26" s="523" t="s">
        <v>195</v>
      </c>
      <c r="B26" s="412">
        <f>B28+B29+B27+B30</f>
        <v>850000</v>
      </c>
      <c r="C26" s="384">
        <f t="shared" si="1"/>
        <v>892500</v>
      </c>
      <c r="D26" s="384">
        <f t="shared" si="1"/>
        <v>937125</v>
      </c>
    </row>
    <row r="27" spans="1:4">
      <c r="A27" s="525" t="s">
        <v>233</v>
      </c>
      <c r="B27" s="387">
        <v>50000</v>
      </c>
      <c r="C27" s="390">
        <f t="shared" si="1"/>
        <v>52500</v>
      </c>
      <c r="D27" s="390">
        <f t="shared" si="1"/>
        <v>55125</v>
      </c>
    </row>
    <row r="28" spans="1:4">
      <c r="A28" s="525" t="s">
        <v>492</v>
      </c>
      <c r="B28" s="389">
        <v>100000</v>
      </c>
      <c r="C28" s="390">
        <f t="shared" si="1"/>
        <v>105000</v>
      </c>
      <c r="D28" s="390">
        <f t="shared" si="1"/>
        <v>110250</v>
      </c>
    </row>
    <row r="29" spans="1:4">
      <c r="A29" s="525" t="s">
        <v>945</v>
      </c>
      <c r="B29" s="389">
        <v>500000</v>
      </c>
      <c r="C29" s="390">
        <f t="shared" si="1"/>
        <v>525000</v>
      </c>
      <c r="D29" s="390">
        <f t="shared" si="1"/>
        <v>551250</v>
      </c>
    </row>
    <row r="30" spans="1:4">
      <c r="A30" s="527" t="s">
        <v>328</v>
      </c>
      <c r="B30" s="417">
        <v>200000</v>
      </c>
      <c r="C30" s="390">
        <f t="shared" si="1"/>
        <v>210000</v>
      </c>
      <c r="D30" s="390">
        <f t="shared" si="1"/>
        <v>220500</v>
      </c>
    </row>
    <row r="31" spans="1:4">
      <c r="A31" s="524" t="s">
        <v>946</v>
      </c>
      <c r="B31" s="418">
        <f>-3000000+8000000-2000000</f>
        <v>3000000</v>
      </c>
      <c r="C31" s="386">
        <f t="shared" si="1"/>
        <v>3150000</v>
      </c>
      <c r="D31" s="386">
        <f t="shared" si="1"/>
        <v>3307500</v>
      </c>
    </row>
    <row r="32" spans="1:4">
      <c r="A32" s="523" t="s">
        <v>256</v>
      </c>
      <c r="B32" s="409">
        <f>B33+B34</f>
        <v>2922000</v>
      </c>
      <c r="C32" s="384">
        <f t="shared" si="1"/>
        <v>3068100</v>
      </c>
      <c r="D32" s="384">
        <f t="shared" si="1"/>
        <v>3221505</v>
      </c>
    </row>
    <row r="33" spans="1:5">
      <c r="A33" s="525" t="s">
        <v>257</v>
      </c>
      <c r="B33" s="415">
        <v>2922000</v>
      </c>
      <c r="C33" s="390">
        <f t="shared" si="1"/>
        <v>3068100</v>
      </c>
      <c r="D33" s="390">
        <f t="shared" si="1"/>
        <v>3221505</v>
      </c>
    </row>
    <row r="34" spans="1:5">
      <c r="A34" s="525" t="s">
        <v>443</v>
      </c>
      <c r="B34" s="387">
        <v>0</v>
      </c>
      <c r="C34" s="384">
        <f t="shared" si="1"/>
        <v>0</v>
      </c>
      <c r="D34" s="384">
        <f t="shared" si="1"/>
        <v>0</v>
      </c>
    </row>
    <row r="35" spans="1:5">
      <c r="A35" s="523" t="s">
        <v>329</v>
      </c>
      <c r="B35" s="409">
        <f>B36+B38+B37</f>
        <v>7000000</v>
      </c>
      <c r="C35" s="384">
        <f t="shared" ref="C35:D50" si="2">(1.05*B35)</f>
        <v>7350000</v>
      </c>
      <c r="D35" s="384">
        <f t="shared" si="2"/>
        <v>7717500</v>
      </c>
    </row>
    <row r="36" spans="1:5">
      <c r="A36" s="525" t="s">
        <v>446</v>
      </c>
      <c r="B36" s="415">
        <f>-1500000+5000000</f>
        <v>3500000</v>
      </c>
      <c r="C36" s="390">
        <f t="shared" si="2"/>
        <v>3675000</v>
      </c>
      <c r="D36" s="390">
        <f t="shared" si="2"/>
        <v>3858750</v>
      </c>
    </row>
    <row r="37" spans="1:5">
      <c r="A37" s="519" t="s">
        <v>947</v>
      </c>
      <c r="B37" s="415">
        <v>0</v>
      </c>
      <c r="C37" s="390">
        <f t="shared" si="2"/>
        <v>0</v>
      </c>
      <c r="D37" s="390">
        <f t="shared" si="2"/>
        <v>0</v>
      </c>
    </row>
    <row r="38" spans="1:5">
      <c r="A38" s="525" t="s">
        <v>948</v>
      </c>
      <c r="B38" s="415">
        <f>-1500000+5000000</f>
        <v>3500000</v>
      </c>
      <c r="C38" s="390">
        <f t="shared" si="2"/>
        <v>3675000</v>
      </c>
      <c r="D38" s="390">
        <f t="shared" si="2"/>
        <v>3858750</v>
      </c>
    </row>
    <row r="39" spans="1:5">
      <c r="A39" s="523" t="s">
        <v>200</v>
      </c>
      <c r="B39" s="409">
        <f>B40+B41</f>
        <v>1150000</v>
      </c>
      <c r="C39" s="384">
        <f t="shared" si="2"/>
        <v>1207500</v>
      </c>
      <c r="D39" s="384">
        <f t="shared" si="2"/>
        <v>1267875</v>
      </c>
    </row>
    <row r="40" spans="1:5">
      <c r="A40" s="525" t="s">
        <v>949</v>
      </c>
      <c r="B40" s="418">
        <f>-3000000+5000000-500000-1000000</f>
        <v>500000</v>
      </c>
      <c r="C40" s="390">
        <f t="shared" si="2"/>
        <v>525000</v>
      </c>
      <c r="D40" s="390">
        <f t="shared" si="2"/>
        <v>551250</v>
      </c>
    </row>
    <row r="41" spans="1:5">
      <c r="A41" s="525" t="s">
        <v>950</v>
      </c>
      <c r="B41" s="418">
        <f>-3500000+6500000-500000-1850000</f>
        <v>650000</v>
      </c>
      <c r="C41" s="390">
        <f t="shared" si="2"/>
        <v>682500</v>
      </c>
      <c r="D41" s="390">
        <f t="shared" si="2"/>
        <v>716625</v>
      </c>
    </row>
    <row r="42" spans="1:5">
      <c r="A42" s="523" t="s">
        <v>290</v>
      </c>
      <c r="B42" s="409">
        <f>B43+B44</f>
        <v>4000000</v>
      </c>
      <c r="C42" s="384">
        <f t="shared" si="2"/>
        <v>4200000</v>
      </c>
      <c r="D42" s="384">
        <f t="shared" si="2"/>
        <v>4410000</v>
      </c>
    </row>
    <row r="43" spans="1:5">
      <c r="A43" s="525" t="s">
        <v>454</v>
      </c>
      <c r="B43" s="387">
        <v>0</v>
      </c>
      <c r="C43" s="390">
        <f t="shared" si="2"/>
        <v>0</v>
      </c>
      <c r="D43" s="390">
        <f t="shared" si="2"/>
        <v>0</v>
      </c>
    </row>
    <row r="44" spans="1:5">
      <c r="A44" s="524" t="s">
        <v>291</v>
      </c>
      <c r="B44" s="415">
        <f>-1000000+5000000</f>
        <v>4000000</v>
      </c>
      <c r="C44" s="386">
        <f t="shared" si="2"/>
        <v>4200000</v>
      </c>
      <c r="D44" s="386">
        <f t="shared" si="2"/>
        <v>4410000</v>
      </c>
      <c r="E44" s="111">
        <f>340000000-254000000</f>
        <v>86000000</v>
      </c>
    </row>
    <row r="45" spans="1:5">
      <c r="A45" s="528" t="s">
        <v>205</v>
      </c>
      <c r="B45" s="409">
        <f>B46+B47</f>
        <v>700000</v>
      </c>
      <c r="C45" s="272">
        <f t="shared" si="2"/>
        <v>735000</v>
      </c>
      <c r="D45" s="272">
        <f t="shared" si="2"/>
        <v>771750</v>
      </c>
    </row>
    <row r="46" spans="1:5">
      <c r="A46" s="524" t="s">
        <v>951</v>
      </c>
      <c r="B46" s="389">
        <v>500000</v>
      </c>
      <c r="C46" s="386">
        <f t="shared" si="2"/>
        <v>525000</v>
      </c>
      <c r="D46" s="386">
        <f t="shared" si="2"/>
        <v>551250</v>
      </c>
    </row>
    <row r="47" spans="1:5">
      <c r="A47" s="524" t="s">
        <v>952</v>
      </c>
      <c r="B47" s="389">
        <v>200000</v>
      </c>
      <c r="C47" s="386">
        <f t="shared" si="2"/>
        <v>210000</v>
      </c>
      <c r="D47" s="386">
        <f t="shared" si="2"/>
        <v>220500</v>
      </c>
    </row>
    <row r="48" spans="1:5">
      <c r="A48" s="528" t="s">
        <v>208</v>
      </c>
      <c r="B48" s="409">
        <f>B49</f>
        <v>3000000</v>
      </c>
      <c r="C48" s="272">
        <f t="shared" si="2"/>
        <v>3150000</v>
      </c>
      <c r="D48" s="272">
        <f t="shared" si="2"/>
        <v>3307500</v>
      </c>
    </row>
    <row r="49" spans="1:5">
      <c r="A49" s="524" t="s">
        <v>457</v>
      </c>
      <c r="B49" s="389">
        <f>-1000000+4000000</f>
        <v>3000000</v>
      </c>
      <c r="C49" s="386">
        <f t="shared" si="2"/>
        <v>3150000</v>
      </c>
      <c r="D49" s="386">
        <f t="shared" si="2"/>
        <v>3307500</v>
      </c>
    </row>
    <row r="50" spans="1:5">
      <c r="A50" s="528" t="s">
        <v>210</v>
      </c>
      <c r="B50" s="409">
        <f>B51+B52+B53+B54+B55+B56+B57+B58+B59+B60+B61+B62</f>
        <v>490227135</v>
      </c>
      <c r="C50" s="272">
        <f t="shared" si="2"/>
        <v>514738491.75</v>
      </c>
      <c r="D50" s="272">
        <f t="shared" si="2"/>
        <v>540475416.33749998</v>
      </c>
    </row>
    <row r="51" spans="1:5">
      <c r="A51" s="524" t="s">
        <v>953</v>
      </c>
      <c r="B51" s="419">
        <v>0</v>
      </c>
      <c r="C51" s="386">
        <f t="shared" ref="C51:D66" si="3">(1.05*B51)</f>
        <v>0</v>
      </c>
      <c r="D51" s="386">
        <f t="shared" si="3"/>
        <v>0</v>
      </c>
    </row>
    <row r="52" spans="1:5">
      <c r="A52" s="524" t="s">
        <v>954</v>
      </c>
      <c r="B52" s="408">
        <v>45327135</v>
      </c>
      <c r="C52" s="386">
        <f t="shared" si="3"/>
        <v>47593491.75</v>
      </c>
      <c r="D52" s="386">
        <f t="shared" si="3"/>
        <v>49973166.337499999</v>
      </c>
    </row>
    <row r="53" spans="1:5" ht="31">
      <c r="A53" s="524" t="s">
        <v>211</v>
      </c>
      <c r="B53" s="387">
        <v>100000</v>
      </c>
      <c r="C53" s="386">
        <f t="shared" si="3"/>
        <v>105000</v>
      </c>
      <c r="D53" s="386">
        <f t="shared" si="3"/>
        <v>110250</v>
      </c>
    </row>
    <row r="54" spans="1:5">
      <c r="A54" s="524" t="s">
        <v>955</v>
      </c>
      <c r="B54" s="387">
        <v>2800000</v>
      </c>
      <c r="C54" s="386">
        <f t="shared" si="3"/>
        <v>2940000</v>
      </c>
      <c r="D54" s="386">
        <f t="shared" si="3"/>
        <v>3087000</v>
      </c>
      <c r="E54" s="432"/>
    </row>
    <row r="55" spans="1:5">
      <c r="A55" s="524" t="s">
        <v>262</v>
      </c>
      <c r="B55" s="389">
        <v>500000</v>
      </c>
      <c r="C55" s="386">
        <f t="shared" si="3"/>
        <v>525000</v>
      </c>
      <c r="D55" s="386">
        <f t="shared" si="3"/>
        <v>551250</v>
      </c>
    </row>
    <row r="56" spans="1:5">
      <c r="A56" s="524" t="s">
        <v>450</v>
      </c>
      <c r="B56" s="414">
        <f>210000000+189000000</f>
        <v>399000000</v>
      </c>
      <c r="C56" s="386">
        <f t="shared" si="3"/>
        <v>418950000</v>
      </c>
      <c r="D56" s="386">
        <f t="shared" si="3"/>
        <v>439897500</v>
      </c>
      <c r="E56" s="434">
        <f>B56-341000000</f>
        <v>58000000</v>
      </c>
    </row>
    <row r="57" spans="1:5">
      <c r="A57" s="524" t="s">
        <v>956</v>
      </c>
      <c r="B57" s="420"/>
      <c r="C57" s="386">
        <f t="shared" si="3"/>
        <v>0</v>
      </c>
      <c r="D57" s="386">
        <f t="shared" si="3"/>
        <v>0</v>
      </c>
    </row>
    <row r="58" spans="1:5">
      <c r="A58" s="524" t="s">
        <v>957</v>
      </c>
      <c r="B58" s="387">
        <v>0</v>
      </c>
      <c r="C58" s="386">
        <f t="shared" si="3"/>
        <v>0</v>
      </c>
      <c r="D58" s="386">
        <f t="shared" si="3"/>
        <v>0</v>
      </c>
    </row>
    <row r="59" spans="1:5">
      <c r="A59" s="524" t="s">
        <v>958</v>
      </c>
      <c r="B59" s="387">
        <v>0</v>
      </c>
      <c r="C59" s="386">
        <f t="shared" si="3"/>
        <v>0</v>
      </c>
      <c r="D59" s="386">
        <f t="shared" si="3"/>
        <v>0</v>
      </c>
    </row>
    <row r="60" spans="1:5">
      <c r="A60" s="524" t="s">
        <v>959</v>
      </c>
      <c r="B60" s="389">
        <v>0</v>
      </c>
      <c r="C60" s="386">
        <f t="shared" si="3"/>
        <v>0</v>
      </c>
      <c r="D60" s="386">
        <f t="shared" si="3"/>
        <v>0</v>
      </c>
    </row>
    <row r="61" spans="1:5" ht="31">
      <c r="A61" s="524" t="s">
        <v>960</v>
      </c>
      <c r="B61" s="405">
        <v>37500000</v>
      </c>
      <c r="C61" s="390">
        <f t="shared" si="3"/>
        <v>39375000</v>
      </c>
      <c r="D61" s="390">
        <f t="shared" si="3"/>
        <v>41343750</v>
      </c>
    </row>
    <row r="62" spans="1:5">
      <c r="A62" s="524" t="s">
        <v>961</v>
      </c>
      <c r="B62" s="421">
        <f>-5000000+10000000</f>
        <v>5000000</v>
      </c>
      <c r="C62" s="390">
        <f t="shared" si="3"/>
        <v>5250000</v>
      </c>
      <c r="D62" s="390">
        <f t="shared" si="3"/>
        <v>5512500</v>
      </c>
    </row>
    <row r="63" spans="1:5" ht="31">
      <c r="A63" s="528" t="s">
        <v>212</v>
      </c>
      <c r="B63" s="409">
        <f>B64</f>
        <v>1765554</v>
      </c>
      <c r="C63" s="272">
        <f t="shared" si="3"/>
        <v>1853831.7000000002</v>
      </c>
      <c r="D63" s="272">
        <f t="shared" si="3"/>
        <v>1946523.2850000004</v>
      </c>
    </row>
    <row r="64" spans="1:5">
      <c r="A64" s="524" t="s">
        <v>213</v>
      </c>
      <c r="B64" s="389">
        <v>1765554</v>
      </c>
      <c r="C64" s="386">
        <f t="shared" si="3"/>
        <v>1853831.7000000002</v>
      </c>
      <c r="D64" s="386">
        <f t="shared" si="3"/>
        <v>1946523.2850000004</v>
      </c>
      <c r="E64" s="385"/>
    </row>
    <row r="65" spans="1:6">
      <c r="A65" s="528" t="s">
        <v>267</v>
      </c>
      <c r="B65" s="410">
        <f>B66+B67+B68+B69+B70+B71</f>
        <v>700000</v>
      </c>
      <c r="C65" s="272">
        <f t="shared" si="3"/>
        <v>735000</v>
      </c>
      <c r="D65" s="272">
        <f t="shared" si="3"/>
        <v>771750</v>
      </c>
      <c r="E65" s="433"/>
    </row>
    <row r="66" spans="1:6" ht="31">
      <c r="A66" s="524" t="s">
        <v>962</v>
      </c>
      <c r="B66" s="387">
        <v>0</v>
      </c>
      <c r="C66" s="386">
        <f t="shared" si="3"/>
        <v>0</v>
      </c>
      <c r="D66" s="386">
        <f t="shared" si="3"/>
        <v>0</v>
      </c>
    </row>
    <row r="67" spans="1:6">
      <c r="A67" s="524" t="s">
        <v>337</v>
      </c>
      <c r="B67" s="387">
        <v>0</v>
      </c>
      <c r="C67" s="386">
        <f t="shared" ref="C67:D82" si="4">(1.05*B67)</f>
        <v>0</v>
      </c>
      <c r="D67" s="386">
        <f t="shared" si="4"/>
        <v>0</v>
      </c>
    </row>
    <row r="68" spans="1:6">
      <c r="A68" s="524" t="s">
        <v>963</v>
      </c>
      <c r="B68" s="387">
        <v>0</v>
      </c>
      <c r="C68" s="386">
        <f t="shared" si="4"/>
        <v>0</v>
      </c>
      <c r="D68" s="386">
        <f t="shared" si="4"/>
        <v>0</v>
      </c>
    </row>
    <row r="69" spans="1:6">
      <c r="A69" s="524" t="s">
        <v>268</v>
      </c>
      <c r="B69" s="387">
        <v>500000</v>
      </c>
      <c r="C69" s="386">
        <f t="shared" si="4"/>
        <v>525000</v>
      </c>
      <c r="D69" s="386">
        <f t="shared" si="4"/>
        <v>551250</v>
      </c>
    </row>
    <row r="70" spans="1:6">
      <c r="A70" s="524" t="s">
        <v>964</v>
      </c>
      <c r="B70" s="387">
        <v>0</v>
      </c>
      <c r="C70" s="386">
        <f t="shared" si="4"/>
        <v>0</v>
      </c>
      <c r="D70" s="386">
        <f t="shared" si="4"/>
        <v>0</v>
      </c>
    </row>
    <row r="71" spans="1:6" ht="31">
      <c r="A71" s="524" t="s">
        <v>965</v>
      </c>
      <c r="B71" s="387">
        <v>200000</v>
      </c>
      <c r="C71" s="386">
        <f t="shared" si="4"/>
        <v>210000</v>
      </c>
      <c r="D71" s="386">
        <f t="shared" si="4"/>
        <v>220500</v>
      </c>
    </row>
    <row r="72" spans="1:6">
      <c r="A72" s="528" t="s">
        <v>466</v>
      </c>
      <c r="B72" s="409">
        <f>B73+B74+B75</f>
        <v>670877</v>
      </c>
      <c r="C72" s="272">
        <f t="shared" si="4"/>
        <v>704420.85</v>
      </c>
      <c r="D72" s="272">
        <f t="shared" si="4"/>
        <v>739641.89249999996</v>
      </c>
    </row>
    <row r="73" spans="1:6">
      <c r="A73" s="525" t="s">
        <v>467</v>
      </c>
      <c r="B73" s="387">
        <v>0</v>
      </c>
      <c r="C73" s="384">
        <f t="shared" si="4"/>
        <v>0</v>
      </c>
      <c r="D73" s="384">
        <f t="shared" si="4"/>
        <v>0</v>
      </c>
    </row>
    <row r="74" spans="1:6">
      <c r="A74" s="525" t="s">
        <v>966</v>
      </c>
      <c r="B74" s="387">
        <f>2448682-2448682</f>
        <v>0</v>
      </c>
      <c r="C74" s="384">
        <f t="shared" si="4"/>
        <v>0</v>
      </c>
      <c r="D74" s="384">
        <f t="shared" si="4"/>
        <v>0</v>
      </c>
    </row>
    <row r="75" spans="1:6">
      <c r="A75" s="525" t="s">
        <v>967</v>
      </c>
      <c r="B75" s="414">
        <v>670877</v>
      </c>
      <c r="C75" s="390">
        <f t="shared" si="4"/>
        <v>704420.85</v>
      </c>
      <c r="D75" s="390">
        <f t="shared" si="4"/>
        <v>739641.89249999996</v>
      </c>
    </row>
    <row r="76" spans="1:6">
      <c r="A76" s="523" t="s">
        <v>270</v>
      </c>
      <c r="B76" s="409">
        <f>B77+B78+B79+B80+B81+B82+B83</f>
        <v>15109045</v>
      </c>
      <c r="C76" s="384">
        <f t="shared" si="4"/>
        <v>15864497.25</v>
      </c>
      <c r="D76" s="384">
        <f t="shared" si="4"/>
        <v>16657722.112500001</v>
      </c>
      <c r="E76" s="434"/>
    </row>
    <row r="77" spans="1:6" ht="31">
      <c r="A77" s="525" t="s">
        <v>469</v>
      </c>
      <c r="B77" s="387"/>
      <c r="C77" s="390">
        <f t="shared" si="4"/>
        <v>0</v>
      </c>
      <c r="D77" s="390">
        <f t="shared" si="4"/>
        <v>0</v>
      </c>
      <c r="E77" s="434"/>
    </row>
    <row r="78" spans="1:6">
      <c r="A78" s="526" t="s">
        <v>281</v>
      </c>
      <c r="B78" s="389"/>
      <c r="C78" s="390">
        <f t="shared" si="4"/>
        <v>0</v>
      </c>
      <c r="D78" s="390">
        <f t="shared" si="4"/>
        <v>0</v>
      </c>
      <c r="F78" s="434"/>
    </row>
    <row r="79" spans="1:6">
      <c r="A79" s="525" t="s">
        <v>272</v>
      </c>
      <c r="B79" s="387"/>
      <c r="C79" s="390">
        <f t="shared" si="4"/>
        <v>0</v>
      </c>
      <c r="D79" s="390">
        <f t="shared" si="4"/>
        <v>0</v>
      </c>
    </row>
    <row r="80" spans="1:6" ht="31">
      <c r="A80" s="525" t="s">
        <v>968</v>
      </c>
      <c r="B80" s="387">
        <f>214905+1635-216540</f>
        <v>0</v>
      </c>
      <c r="C80" s="390">
        <f t="shared" si="4"/>
        <v>0</v>
      </c>
      <c r="D80" s="390">
        <f t="shared" si="4"/>
        <v>0</v>
      </c>
    </row>
    <row r="81" spans="1:5" ht="31">
      <c r="A81" s="526" t="s">
        <v>969</v>
      </c>
      <c r="B81" s="387"/>
      <c r="C81" s="390">
        <f t="shared" si="4"/>
        <v>0</v>
      </c>
      <c r="D81" s="390"/>
    </row>
    <row r="82" spans="1:5">
      <c r="A82" s="526" t="s">
        <v>465</v>
      </c>
      <c r="B82" s="422">
        <v>15109045</v>
      </c>
      <c r="C82" s="390">
        <f>1.05*B82</f>
        <v>15864497.25</v>
      </c>
      <c r="D82" s="390">
        <f t="shared" si="4"/>
        <v>16657722.112500001</v>
      </c>
    </row>
    <row r="83" spans="1:5">
      <c r="A83" s="526" t="s">
        <v>970</v>
      </c>
      <c r="B83" s="387">
        <f>-37500000+37500000</f>
        <v>0</v>
      </c>
      <c r="C83" s="390"/>
      <c r="D83" s="390"/>
    </row>
    <row r="84" spans="1:5">
      <c r="A84" s="529" t="s">
        <v>971</v>
      </c>
      <c r="B84" s="409">
        <f>B76+B72+B65+B63+B50+B48+B45+B42+B39+B35+B32+B26+B20+B15+B11+B3+B8+B6+B19+B31</f>
        <v>549495597</v>
      </c>
      <c r="C84" s="384">
        <f>(1.05*B84)</f>
        <v>576970376.85000002</v>
      </c>
      <c r="D84" s="384">
        <f t="shared" ref="D84:D134" si="5">(1.05*C84)</f>
        <v>605818895.6925</v>
      </c>
    </row>
    <row r="85" spans="1:5">
      <c r="A85" s="529" t="s">
        <v>106</v>
      </c>
      <c r="B85" s="409"/>
      <c r="C85" s="384"/>
      <c r="D85" s="384"/>
    </row>
    <row r="86" spans="1:5" ht="62">
      <c r="A86" s="530" t="s">
        <v>972</v>
      </c>
      <c r="B86" s="353" t="s">
        <v>973</v>
      </c>
      <c r="C86" s="353" t="s">
        <v>788</v>
      </c>
      <c r="D86" s="353" t="s">
        <v>789</v>
      </c>
    </row>
    <row r="87" spans="1:5" ht="31">
      <c r="A87" s="531" t="s">
        <v>974</v>
      </c>
      <c r="B87" s="423">
        <f>SUM(B89+B88)</f>
        <v>0</v>
      </c>
      <c r="C87" s="423">
        <f t="shared" ref="C87:D87" si="6">SUM(C89+C88)</f>
        <v>0</v>
      </c>
      <c r="D87" s="423">
        <f t="shared" si="6"/>
        <v>0</v>
      </c>
    </row>
    <row r="88" spans="1:5">
      <c r="A88" s="532" t="s">
        <v>975</v>
      </c>
      <c r="B88" s="424">
        <v>0</v>
      </c>
      <c r="C88" s="425">
        <f>B88*1.05</f>
        <v>0</v>
      </c>
      <c r="D88" s="425">
        <f t="shared" ref="D88:D121" si="7">1.05*C88</f>
        <v>0</v>
      </c>
    </row>
    <row r="89" spans="1:5" ht="31">
      <c r="A89" s="532" t="s">
        <v>976</v>
      </c>
      <c r="B89" s="424">
        <v>0</v>
      </c>
      <c r="C89" s="425">
        <f>B89*1.05</f>
        <v>0</v>
      </c>
      <c r="D89" s="425">
        <f t="shared" si="7"/>
        <v>0</v>
      </c>
    </row>
    <row r="90" spans="1:5" ht="31">
      <c r="A90" s="531" t="s">
        <v>977</v>
      </c>
      <c r="B90" s="423">
        <f>SUM(B91)</f>
        <v>1212000</v>
      </c>
      <c r="C90" s="423">
        <f t="shared" ref="C90:D90" si="8">SUM(C91)</f>
        <v>1272600</v>
      </c>
      <c r="D90" s="423">
        <f t="shared" si="8"/>
        <v>1336230</v>
      </c>
    </row>
    <row r="91" spans="1:5">
      <c r="A91" s="532" t="s">
        <v>978</v>
      </c>
      <c r="B91" s="424">
        <v>1212000</v>
      </c>
      <c r="C91" s="425">
        <f>B91*1.05</f>
        <v>1272600</v>
      </c>
      <c r="D91" s="425">
        <f t="shared" si="7"/>
        <v>1336230</v>
      </c>
    </row>
    <row r="92" spans="1:5" ht="46.5">
      <c r="A92" s="531" t="s">
        <v>979</v>
      </c>
      <c r="B92" s="423">
        <f>SUM(B93+B94+B95+B96)</f>
        <v>6074350</v>
      </c>
      <c r="C92" s="423">
        <f t="shared" ref="C92:D92" si="9">SUM(C93+C94+C95+C96)</f>
        <v>6378067.5</v>
      </c>
      <c r="D92" s="423">
        <f t="shared" si="9"/>
        <v>6696970.875</v>
      </c>
    </row>
    <row r="93" spans="1:5" ht="31">
      <c r="A93" s="532" t="s">
        <v>980</v>
      </c>
      <c r="B93" s="424">
        <v>0</v>
      </c>
      <c r="C93" s="425">
        <f>B93*1.05</f>
        <v>0</v>
      </c>
      <c r="D93" s="425">
        <f t="shared" si="7"/>
        <v>0</v>
      </c>
    </row>
    <row r="94" spans="1:5">
      <c r="A94" s="532" t="s">
        <v>981</v>
      </c>
      <c r="B94" s="424">
        <v>0</v>
      </c>
      <c r="C94" s="425">
        <f>B94*1.05</f>
        <v>0</v>
      </c>
      <c r="D94" s="425">
        <f t="shared" si="7"/>
        <v>0</v>
      </c>
    </row>
    <row r="95" spans="1:5">
      <c r="A95" s="532" t="s">
        <v>327</v>
      </c>
      <c r="B95" s="426">
        <f>-1000000+2421090</f>
        <v>1421090</v>
      </c>
      <c r="C95" s="425">
        <f>B95*1.05</f>
        <v>1492144.5</v>
      </c>
      <c r="D95" s="425">
        <f t="shared" si="7"/>
        <v>1566751.7250000001</v>
      </c>
      <c r="E95" s="111">
        <v>-4653260</v>
      </c>
    </row>
    <row r="96" spans="1:5">
      <c r="A96" s="532" t="s">
        <v>982</v>
      </c>
      <c r="B96" s="424">
        <v>4653260</v>
      </c>
      <c r="C96" s="425">
        <f>B96*1.05</f>
        <v>4885923</v>
      </c>
      <c r="D96" s="425">
        <f t="shared" si="7"/>
        <v>5130219.1500000004</v>
      </c>
    </row>
    <row r="97" spans="1:4" ht="46.5">
      <c r="A97" s="531" t="s">
        <v>983</v>
      </c>
      <c r="B97" s="423">
        <f>SUM(B98+B99)</f>
        <v>1250000</v>
      </c>
      <c r="C97" s="423">
        <f t="shared" ref="C97:D97" si="10">SUM(C98+C99)</f>
        <v>1312500</v>
      </c>
      <c r="D97" s="423">
        <f t="shared" si="10"/>
        <v>1378125</v>
      </c>
    </row>
    <row r="98" spans="1:4">
      <c r="A98" s="532" t="s">
        <v>984</v>
      </c>
      <c r="B98" s="426">
        <f>-1000000+1500000</f>
        <v>500000</v>
      </c>
      <c r="C98" s="425">
        <f>B98*1.05</f>
        <v>525000</v>
      </c>
      <c r="D98" s="425">
        <f t="shared" si="7"/>
        <v>551250</v>
      </c>
    </row>
    <row r="99" spans="1:4" ht="31">
      <c r="A99" s="532" t="s">
        <v>985</v>
      </c>
      <c r="B99" s="424">
        <v>750000</v>
      </c>
      <c r="C99" s="425">
        <f>B99*1.05</f>
        <v>787500</v>
      </c>
      <c r="D99" s="425">
        <f t="shared" si="7"/>
        <v>826875</v>
      </c>
    </row>
    <row r="100" spans="1:4" ht="16" thickBot="1">
      <c r="A100" s="533" t="s">
        <v>986</v>
      </c>
      <c r="B100" s="427">
        <f>B101+B102+B103+B104+B105+B106</f>
        <v>354000</v>
      </c>
      <c r="C100" s="427">
        <f t="shared" ref="C100:D100" si="11">C101+C102+C104+C105+C106</f>
        <v>371700</v>
      </c>
      <c r="D100" s="427">
        <f t="shared" si="11"/>
        <v>390285</v>
      </c>
    </row>
    <row r="101" spans="1:4" ht="16" thickBot="1">
      <c r="A101" s="534" t="s">
        <v>987</v>
      </c>
      <c r="B101" s="424">
        <v>0</v>
      </c>
      <c r="C101" s="425">
        <f>B101*1.05</f>
        <v>0</v>
      </c>
      <c r="D101" s="425">
        <f>C101*1.05</f>
        <v>0</v>
      </c>
    </row>
    <row r="102" spans="1:4" ht="47" thickBot="1">
      <c r="A102" s="534" t="s">
        <v>988</v>
      </c>
      <c r="B102" s="424">
        <v>0</v>
      </c>
      <c r="C102" s="425">
        <f>B102*1.05</f>
        <v>0</v>
      </c>
      <c r="D102" s="425">
        <f t="shared" ref="D102" si="12">C102*1.05</f>
        <v>0</v>
      </c>
    </row>
    <row r="103" spans="1:4" ht="31.5" thickBot="1">
      <c r="A103" s="525" t="s">
        <v>989</v>
      </c>
      <c r="B103" s="428"/>
      <c r="C103" s="425"/>
      <c r="D103" s="425"/>
    </row>
    <row r="104" spans="1:4" ht="31.5" thickBot="1">
      <c r="A104" s="534" t="s">
        <v>990</v>
      </c>
      <c r="B104" s="424"/>
      <c r="C104" s="425">
        <f>B104*1.05</f>
        <v>0</v>
      </c>
      <c r="D104" s="425">
        <f t="shared" ref="D104:D106" si="13">C104*1.05</f>
        <v>0</v>
      </c>
    </row>
    <row r="105" spans="1:4" ht="16" thickBot="1">
      <c r="A105" s="534" t="s">
        <v>991</v>
      </c>
      <c r="B105" s="424">
        <v>154000</v>
      </c>
      <c r="C105" s="425">
        <f>B105*1.05</f>
        <v>161700</v>
      </c>
      <c r="D105" s="425">
        <f t="shared" si="13"/>
        <v>169785</v>
      </c>
    </row>
    <row r="106" spans="1:4" ht="16" thickBot="1">
      <c r="A106" s="534" t="s">
        <v>992</v>
      </c>
      <c r="B106" s="424">
        <v>200000</v>
      </c>
      <c r="C106" s="425">
        <f>B106*1.05</f>
        <v>210000</v>
      </c>
      <c r="D106" s="425">
        <f t="shared" si="13"/>
        <v>220500</v>
      </c>
    </row>
    <row r="107" spans="1:4" ht="31">
      <c r="A107" s="531" t="s">
        <v>993</v>
      </c>
      <c r="B107" s="423">
        <f>SUM(B108+B109)</f>
        <v>300000</v>
      </c>
      <c r="C107" s="423">
        <f t="shared" ref="C107:D107" si="14">SUM(C108+C109)</f>
        <v>315000</v>
      </c>
      <c r="D107" s="423">
        <f t="shared" si="14"/>
        <v>330750</v>
      </c>
    </row>
    <row r="108" spans="1:4" ht="46.5">
      <c r="A108" s="532" t="s">
        <v>994</v>
      </c>
      <c r="B108" s="424">
        <v>300000</v>
      </c>
      <c r="C108" s="425">
        <f>B108*1.05</f>
        <v>315000</v>
      </c>
      <c r="D108" s="425">
        <f t="shared" si="7"/>
        <v>330750</v>
      </c>
    </row>
    <row r="109" spans="1:4" ht="31">
      <c r="A109" s="532" t="s">
        <v>995</v>
      </c>
      <c r="B109" s="424">
        <v>0</v>
      </c>
      <c r="C109" s="425">
        <f>B109*1.05</f>
        <v>0</v>
      </c>
      <c r="D109" s="425">
        <f t="shared" si="7"/>
        <v>0</v>
      </c>
    </row>
    <row r="110" spans="1:4" ht="31">
      <c r="A110" s="531" t="s">
        <v>996</v>
      </c>
      <c r="B110" s="423">
        <f>SUM(B111+B112)</f>
        <v>179000</v>
      </c>
      <c r="C110" s="423">
        <f t="shared" ref="C110:D110" si="15">SUM(C111+C112)</f>
        <v>187950</v>
      </c>
      <c r="D110" s="423">
        <f t="shared" si="15"/>
        <v>197347.5</v>
      </c>
    </row>
    <row r="111" spans="1:4" ht="46.5">
      <c r="A111" s="532" t="s">
        <v>997</v>
      </c>
      <c r="B111" s="424">
        <v>179000</v>
      </c>
      <c r="C111" s="425">
        <f>B111*1.05</f>
        <v>187950</v>
      </c>
      <c r="D111" s="425">
        <f t="shared" si="7"/>
        <v>197347.5</v>
      </c>
    </row>
    <row r="112" spans="1:4" ht="31">
      <c r="A112" s="532" t="s">
        <v>998</v>
      </c>
      <c r="B112" s="424">
        <v>0</v>
      </c>
      <c r="C112" s="425">
        <f>B112*1.05</f>
        <v>0</v>
      </c>
      <c r="D112" s="425">
        <f t="shared" si="7"/>
        <v>0</v>
      </c>
    </row>
    <row r="113" spans="1:4" ht="31">
      <c r="A113" s="531" t="s">
        <v>999</v>
      </c>
      <c r="B113" s="427">
        <f>B114</f>
        <v>216000</v>
      </c>
      <c r="C113" s="427">
        <f t="shared" ref="C113:D113" si="16">C114</f>
        <v>226800</v>
      </c>
      <c r="D113" s="427">
        <f t="shared" si="16"/>
        <v>238140</v>
      </c>
    </row>
    <row r="114" spans="1:4" ht="31">
      <c r="A114" s="535" t="s">
        <v>1000</v>
      </c>
      <c r="B114" s="424">
        <v>216000</v>
      </c>
      <c r="C114" s="425">
        <f>B114*1.05</f>
        <v>226800</v>
      </c>
      <c r="D114" s="425">
        <f>C114*1.05</f>
        <v>238140</v>
      </c>
    </row>
    <row r="115" spans="1:4" ht="31">
      <c r="A115" s="531" t="s">
        <v>1001</v>
      </c>
      <c r="B115" s="423">
        <f>SUM(B116)</f>
        <v>0</v>
      </c>
      <c r="C115" s="423">
        <f t="shared" ref="C115:D115" si="17">SUM(C116)</f>
        <v>0</v>
      </c>
      <c r="D115" s="423">
        <f t="shared" si="17"/>
        <v>0</v>
      </c>
    </row>
    <row r="116" spans="1:4" ht="46.5">
      <c r="A116" s="532" t="s">
        <v>1002</v>
      </c>
      <c r="B116" s="424">
        <v>0</v>
      </c>
      <c r="C116" s="425">
        <f>B116*1.05</f>
        <v>0</v>
      </c>
      <c r="D116" s="425">
        <f t="shared" si="7"/>
        <v>0</v>
      </c>
    </row>
    <row r="117" spans="1:4" ht="31">
      <c r="A117" s="531" t="s">
        <v>1003</v>
      </c>
      <c r="B117" s="423">
        <f>SUM(B118)</f>
        <v>2567910</v>
      </c>
      <c r="C117" s="423">
        <f t="shared" ref="C117:D117" si="18">SUM(C118)</f>
        <v>2696305.5</v>
      </c>
      <c r="D117" s="423">
        <f t="shared" si="18"/>
        <v>2831120.7749999999</v>
      </c>
    </row>
    <row r="118" spans="1:4" ht="31">
      <c r="A118" s="532" t="s">
        <v>1004</v>
      </c>
      <c r="B118" s="424">
        <v>2567910</v>
      </c>
      <c r="C118" s="425">
        <f>B118*1.05</f>
        <v>2696305.5</v>
      </c>
      <c r="D118" s="425">
        <f t="shared" si="7"/>
        <v>2831120.7749999999</v>
      </c>
    </row>
    <row r="119" spans="1:4" ht="31">
      <c r="A119" s="531" t="s">
        <v>1005</v>
      </c>
      <c r="B119" s="423">
        <f>SUM(B120+B121)</f>
        <v>500000</v>
      </c>
      <c r="C119" s="423">
        <f t="shared" ref="C119:D119" si="19">SUM(C120+C121)</f>
        <v>525000</v>
      </c>
      <c r="D119" s="423">
        <f t="shared" si="19"/>
        <v>551250</v>
      </c>
    </row>
    <row r="120" spans="1:4" ht="31">
      <c r="A120" s="532" t="s">
        <v>1006</v>
      </c>
      <c r="B120" s="424">
        <v>500000</v>
      </c>
      <c r="C120" s="425">
        <f>B120*1.05</f>
        <v>525000</v>
      </c>
      <c r="D120" s="425">
        <f t="shared" si="7"/>
        <v>551250</v>
      </c>
    </row>
    <row r="121" spans="1:4" ht="46.5">
      <c r="A121" s="532" t="s">
        <v>1007</v>
      </c>
      <c r="B121" s="424">
        <v>0</v>
      </c>
      <c r="C121" s="425">
        <f>B121*1.05</f>
        <v>0</v>
      </c>
      <c r="D121" s="425">
        <f t="shared" si="7"/>
        <v>0</v>
      </c>
    </row>
    <row r="122" spans="1:4" ht="31">
      <c r="A122" s="531" t="s">
        <v>1008</v>
      </c>
      <c r="B122" s="427">
        <f>SUM(B119+B117+B115+B113+B110+B107+B100+B97+B92+B90+B87)</f>
        <v>12653260</v>
      </c>
      <c r="C122" s="427">
        <f t="shared" ref="C122:D122" si="20">SUM(C119+C117+C115+C113+C110+C107+C100+C97+C92+C90+C87)</f>
        <v>13285923</v>
      </c>
      <c r="D122" s="427">
        <f t="shared" si="20"/>
        <v>13950219.15</v>
      </c>
    </row>
    <row r="123" spans="1:4">
      <c r="A123" s="531" t="s">
        <v>1009</v>
      </c>
      <c r="B123" s="429">
        <f>B122+B84</f>
        <v>562148857</v>
      </c>
      <c r="C123" s="429">
        <f t="shared" ref="C123:D123" si="21">C122+C84</f>
        <v>590256299.85000002</v>
      </c>
      <c r="D123" s="429">
        <f t="shared" si="21"/>
        <v>619769114.84249997</v>
      </c>
    </row>
    <row r="124" spans="1:4">
      <c r="A124" s="531" t="s">
        <v>106</v>
      </c>
      <c r="B124" s="429"/>
      <c r="C124" s="429"/>
      <c r="D124" s="429"/>
    </row>
    <row r="125" spans="1:4">
      <c r="A125" s="529" t="s">
        <v>106</v>
      </c>
      <c r="B125" s="409"/>
      <c r="C125" s="384">
        <f>(1.05*B125)</f>
        <v>0</v>
      </c>
      <c r="D125" s="384">
        <f t="shared" si="5"/>
        <v>0</v>
      </c>
    </row>
    <row r="126" spans="1:4" ht="62">
      <c r="A126" s="530" t="s">
        <v>1010</v>
      </c>
      <c r="B126" s="353" t="s">
        <v>973</v>
      </c>
      <c r="C126" s="353" t="s">
        <v>788</v>
      </c>
      <c r="D126" s="353" t="s">
        <v>789</v>
      </c>
    </row>
    <row r="127" spans="1:4">
      <c r="A127" s="528" t="s">
        <v>200</v>
      </c>
      <c r="B127" s="393">
        <f>B128+B129+B130+B131+B132</f>
        <v>8472553</v>
      </c>
      <c r="C127" s="384">
        <f t="shared" ref="C127:C134" si="22">(1.05*B127)</f>
        <v>8896180.6500000004</v>
      </c>
      <c r="D127" s="384">
        <f t="shared" si="5"/>
        <v>9340989.682500001</v>
      </c>
    </row>
    <row r="128" spans="1:4">
      <c r="A128" s="524" t="s">
        <v>1011</v>
      </c>
      <c r="B128" s="394">
        <v>0</v>
      </c>
      <c r="C128" s="384">
        <f t="shared" si="22"/>
        <v>0</v>
      </c>
      <c r="D128" s="384">
        <f t="shared" si="5"/>
        <v>0</v>
      </c>
    </row>
    <row r="129" spans="1:5">
      <c r="A129" s="524" t="s">
        <v>1012</v>
      </c>
      <c r="B129" s="389">
        <v>5435038</v>
      </c>
      <c r="C129" s="384">
        <f t="shared" si="22"/>
        <v>5706789.9000000004</v>
      </c>
      <c r="D129" s="384">
        <f t="shared" si="5"/>
        <v>5992129.3950000005</v>
      </c>
    </row>
    <row r="130" spans="1:5">
      <c r="A130" s="524" t="s">
        <v>1013</v>
      </c>
      <c r="B130" s="387">
        <v>951610</v>
      </c>
      <c r="C130" s="390">
        <f t="shared" si="22"/>
        <v>999190.5</v>
      </c>
      <c r="D130" s="390">
        <f t="shared" si="5"/>
        <v>1049150.0250000001</v>
      </c>
    </row>
    <row r="131" spans="1:5">
      <c r="A131" s="526" t="s">
        <v>1014</v>
      </c>
      <c r="B131" s="430">
        <v>1200000</v>
      </c>
      <c r="C131" s="390">
        <f t="shared" si="22"/>
        <v>1260000</v>
      </c>
      <c r="D131" s="390">
        <f t="shared" si="5"/>
        <v>1323000</v>
      </c>
    </row>
    <row r="132" spans="1:5">
      <c r="A132" s="525" t="s">
        <v>1015</v>
      </c>
      <c r="B132" s="430">
        <v>885905</v>
      </c>
      <c r="C132" s="390">
        <f t="shared" si="22"/>
        <v>930200.25</v>
      </c>
      <c r="D132" s="390">
        <f t="shared" si="5"/>
        <v>976710.26250000007</v>
      </c>
    </row>
    <row r="133" spans="1:5">
      <c r="A133" s="528" t="s">
        <v>1016</v>
      </c>
      <c r="B133" s="393">
        <f>B127</f>
        <v>8472553</v>
      </c>
      <c r="C133" s="384">
        <f t="shared" si="22"/>
        <v>8896180.6500000004</v>
      </c>
      <c r="D133" s="384">
        <f t="shared" si="5"/>
        <v>9340989.682500001</v>
      </c>
    </row>
    <row r="134" spans="1:5">
      <c r="A134" s="523" t="s">
        <v>1017</v>
      </c>
      <c r="B134" s="409">
        <f>B133</f>
        <v>8472553</v>
      </c>
      <c r="C134" s="384">
        <f t="shared" si="22"/>
        <v>8896180.6500000004</v>
      </c>
      <c r="D134" s="384">
        <f t="shared" si="5"/>
        <v>9340989.682500001</v>
      </c>
    </row>
    <row r="135" spans="1:5">
      <c r="A135" s="523" t="s">
        <v>106</v>
      </c>
      <c r="B135" s="409"/>
      <c r="C135" s="384"/>
      <c r="D135" s="384"/>
    </row>
    <row r="136" spans="1:5" ht="62">
      <c r="A136" s="530" t="s">
        <v>1018</v>
      </c>
      <c r="B136" s="353" t="s">
        <v>973</v>
      </c>
      <c r="C136" s="353" t="s">
        <v>788</v>
      </c>
      <c r="D136" s="353" t="s">
        <v>789</v>
      </c>
    </row>
    <row r="137" spans="1:5">
      <c r="A137" s="528" t="s">
        <v>1019</v>
      </c>
      <c r="B137" s="409"/>
      <c r="C137" s="384"/>
      <c r="D137" s="384"/>
      <c r="E137" s="112"/>
    </row>
    <row r="138" spans="1:5">
      <c r="A138" s="524" t="s">
        <v>1020</v>
      </c>
      <c r="B138" s="414">
        <v>0</v>
      </c>
      <c r="C138" s="390">
        <f>(1.05*B138)</f>
        <v>0</v>
      </c>
      <c r="D138" s="390">
        <f t="shared" ref="D138:D140" si="23">(1.05*C138)</f>
        <v>0</v>
      </c>
      <c r="E138" s="111">
        <v>11223500</v>
      </c>
    </row>
    <row r="139" spans="1:5">
      <c r="A139" s="525" t="s">
        <v>1021</v>
      </c>
      <c r="B139" s="422">
        <f>12441686+720-12442406</f>
        <v>0</v>
      </c>
      <c r="C139" s="390">
        <f>(1.05*B139)</f>
        <v>0</v>
      </c>
      <c r="D139" s="390">
        <f t="shared" si="23"/>
        <v>0</v>
      </c>
    </row>
    <row r="140" spans="1:5" ht="31">
      <c r="A140" s="524" t="s">
        <v>960</v>
      </c>
      <c r="B140" s="405">
        <v>352500000</v>
      </c>
      <c r="C140" s="390">
        <f>(1.05*B140)</f>
        <v>370125000</v>
      </c>
      <c r="D140" s="390">
        <f t="shared" si="23"/>
        <v>388631250</v>
      </c>
    </row>
    <row r="141" spans="1:5">
      <c r="A141" s="523" t="s">
        <v>1022</v>
      </c>
      <c r="B141" s="409">
        <f>B138+B139+B140</f>
        <v>352500000</v>
      </c>
      <c r="C141" s="409">
        <f>C138+C139+C140</f>
        <v>370125000</v>
      </c>
      <c r="D141" s="409">
        <f>D138+D139+D140</f>
        <v>388631250</v>
      </c>
      <c r="E141" s="112"/>
    </row>
    <row r="142" spans="1:5">
      <c r="A142" s="523" t="s">
        <v>1023</v>
      </c>
      <c r="B142" s="409">
        <f>B141+B123+B134</f>
        <v>923121410</v>
      </c>
      <c r="C142" s="409">
        <f t="shared" ref="C142:D142" si="24">C141+C123+C134</f>
        <v>969277480.5</v>
      </c>
      <c r="D142" s="409">
        <f t="shared" si="24"/>
        <v>1017741354.525</v>
      </c>
      <c r="E142" s="434"/>
    </row>
    <row r="143" spans="1:5">
      <c r="A143" s="527" t="s">
        <v>106</v>
      </c>
      <c r="B143" s="431"/>
      <c r="C143" s="384"/>
      <c r="D143" s="384"/>
    </row>
    <row r="145" spans="1:7" ht="56">
      <c r="A145" s="520" t="s">
        <v>911</v>
      </c>
      <c r="B145" s="382" t="s">
        <v>557</v>
      </c>
      <c r="C145" s="382" t="s">
        <v>558</v>
      </c>
      <c r="D145" s="382" t="s">
        <v>559</v>
      </c>
      <c r="E145" s="458">
        <f>5500000*45</f>
        <v>247500000</v>
      </c>
      <c r="F145" s="458">
        <v>-26111111.921665192</v>
      </c>
      <c r="G145" s="498" t="s">
        <v>1169</v>
      </c>
    </row>
    <row r="146" spans="1:7">
      <c r="A146" s="536" t="s">
        <v>696</v>
      </c>
      <c r="B146" s="383">
        <f>B147+B148</f>
        <v>7281333658</v>
      </c>
      <c r="C146" s="384">
        <f t="shared" ref="C146:D161" si="25">(1.05*B146)</f>
        <v>7645400340.9000006</v>
      </c>
      <c r="D146" s="384">
        <f t="shared" si="25"/>
        <v>8027670357.9450006</v>
      </c>
      <c r="F146" s="498" t="s">
        <v>1170</v>
      </c>
      <c r="G146" s="498" t="s">
        <v>1171</v>
      </c>
    </row>
    <row r="147" spans="1:7">
      <c r="A147" s="537" t="s">
        <v>697</v>
      </c>
      <c r="B147" s="385">
        <f>745612250+6711832520-100000000-50000000-26111112</f>
        <v>7281333658</v>
      </c>
      <c r="C147" s="386">
        <f t="shared" si="25"/>
        <v>7645400340.9000006</v>
      </c>
      <c r="D147" s="386">
        <f t="shared" si="25"/>
        <v>8027670357.9450006</v>
      </c>
      <c r="E147" s="111">
        <v>745612250.5</v>
      </c>
    </row>
    <row r="148" spans="1:7">
      <c r="A148" s="538" t="s">
        <v>668</v>
      </c>
      <c r="B148" s="387"/>
      <c r="C148" s="384">
        <f t="shared" si="25"/>
        <v>0</v>
      </c>
      <c r="D148" s="384">
        <f t="shared" si="25"/>
        <v>0</v>
      </c>
    </row>
    <row r="149" spans="1:7">
      <c r="A149" s="539" t="s">
        <v>29</v>
      </c>
      <c r="B149" s="388">
        <f>B150+B151</f>
        <v>250000</v>
      </c>
      <c r="C149" s="384">
        <f t="shared" si="25"/>
        <v>262500</v>
      </c>
      <c r="D149" s="384">
        <f t="shared" si="25"/>
        <v>275625</v>
      </c>
      <c r="E149" s="432">
        <f>745612250-100000000-50000000-26111112</f>
        <v>569501138</v>
      </c>
    </row>
    <row r="150" spans="1:7">
      <c r="A150" s="540" t="s">
        <v>30</v>
      </c>
      <c r="B150" s="389">
        <v>200000</v>
      </c>
      <c r="C150" s="390">
        <f t="shared" si="25"/>
        <v>210000</v>
      </c>
      <c r="D150" s="390">
        <f t="shared" si="25"/>
        <v>220500</v>
      </c>
      <c r="E150" s="374">
        <f>E147-E149</f>
        <v>176111112.5</v>
      </c>
    </row>
    <row r="151" spans="1:7">
      <c r="A151" s="540" t="s">
        <v>31</v>
      </c>
      <c r="B151" s="389">
        <v>50000</v>
      </c>
      <c r="C151" s="390">
        <f t="shared" si="25"/>
        <v>52500</v>
      </c>
      <c r="D151" s="390">
        <f t="shared" si="25"/>
        <v>55125</v>
      </c>
    </row>
    <row r="152" spans="1:7">
      <c r="A152" s="539" t="s">
        <v>32</v>
      </c>
      <c r="B152" s="388">
        <f>B153+B154</f>
        <v>500000</v>
      </c>
      <c r="C152" s="384">
        <f t="shared" si="25"/>
        <v>525000</v>
      </c>
      <c r="D152" s="384">
        <f t="shared" si="25"/>
        <v>551250</v>
      </c>
    </row>
    <row r="153" spans="1:7">
      <c r="A153" s="540" t="s">
        <v>698</v>
      </c>
      <c r="B153" s="389">
        <v>500000</v>
      </c>
      <c r="C153" s="390">
        <f t="shared" si="25"/>
        <v>525000</v>
      </c>
      <c r="D153" s="390">
        <f t="shared" si="25"/>
        <v>551250</v>
      </c>
    </row>
    <row r="154" spans="1:7">
      <c r="A154" s="541" t="s">
        <v>912</v>
      </c>
      <c r="B154" s="391"/>
      <c r="C154" s="384">
        <f t="shared" si="25"/>
        <v>0</v>
      </c>
      <c r="D154" s="384">
        <f t="shared" si="25"/>
        <v>0</v>
      </c>
    </row>
    <row r="155" spans="1:7">
      <c r="A155" s="539" t="s">
        <v>36</v>
      </c>
      <c r="B155" s="388">
        <f>B156+B157+B158+B159+B160</f>
        <v>3665000</v>
      </c>
      <c r="C155" s="384">
        <f t="shared" si="25"/>
        <v>3848250</v>
      </c>
      <c r="D155" s="384">
        <f t="shared" si="25"/>
        <v>4040662.5</v>
      </c>
    </row>
    <row r="156" spans="1:7">
      <c r="A156" s="540" t="s">
        <v>699</v>
      </c>
      <c r="B156" s="389">
        <v>1000000</v>
      </c>
      <c r="C156" s="390">
        <f t="shared" si="25"/>
        <v>1050000</v>
      </c>
      <c r="D156" s="390">
        <f t="shared" si="25"/>
        <v>1102500</v>
      </c>
    </row>
    <row r="157" spans="1:7">
      <c r="A157" s="540" t="s">
        <v>794</v>
      </c>
      <c r="B157" s="389">
        <v>1000000</v>
      </c>
      <c r="C157" s="390">
        <f t="shared" si="25"/>
        <v>1050000</v>
      </c>
      <c r="D157" s="390">
        <f t="shared" si="25"/>
        <v>1102500</v>
      </c>
    </row>
    <row r="158" spans="1:7">
      <c r="A158" s="540" t="s">
        <v>700</v>
      </c>
      <c r="B158" s="389">
        <v>1665000</v>
      </c>
      <c r="C158" s="390">
        <f t="shared" si="25"/>
        <v>1748250</v>
      </c>
      <c r="D158" s="390">
        <f t="shared" si="25"/>
        <v>1835662.5</v>
      </c>
    </row>
    <row r="159" spans="1:7">
      <c r="A159" s="542" t="s">
        <v>39</v>
      </c>
      <c r="B159" s="392">
        <v>0</v>
      </c>
      <c r="C159" s="390">
        <f t="shared" si="25"/>
        <v>0</v>
      </c>
      <c r="D159" s="390">
        <f t="shared" si="25"/>
        <v>0</v>
      </c>
    </row>
    <row r="160" spans="1:7">
      <c r="A160" s="542" t="s">
        <v>40</v>
      </c>
      <c r="B160" s="392">
        <v>0</v>
      </c>
      <c r="C160" s="390">
        <f t="shared" si="25"/>
        <v>0</v>
      </c>
      <c r="D160" s="390">
        <f t="shared" si="25"/>
        <v>0</v>
      </c>
    </row>
    <row r="161" spans="1:4">
      <c r="A161" s="543" t="s">
        <v>89</v>
      </c>
      <c r="B161" s="393">
        <f>B162+B163+B164+B165+B166</f>
        <v>1000000</v>
      </c>
      <c r="C161" s="384">
        <f t="shared" si="25"/>
        <v>1050000</v>
      </c>
      <c r="D161" s="384">
        <f t="shared" si="25"/>
        <v>1102500</v>
      </c>
    </row>
    <row r="162" spans="1:4">
      <c r="A162" s="538" t="s">
        <v>90</v>
      </c>
      <c r="B162" s="394">
        <v>250000</v>
      </c>
      <c r="C162" s="390">
        <f t="shared" ref="C162:D218" si="26">(1.05*B162)</f>
        <v>262500</v>
      </c>
      <c r="D162" s="390">
        <f t="shared" si="26"/>
        <v>275625</v>
      </c>
    </row>
    <row r="163" spans="1:4">
      <c r="A163" s="541" t="s">
        <v>673</v>
      </c>
      <c r="B163" s="391">
        <v>250000</v>
      </c>
      <c r="C163" s="390">
        <f t="shared" si="26"/>
        <v>262500</v>
      </c>
      <c r="D163" s="390">
        <f t="shared" si="26"/>
        <v>275625</v>
      </c>
    </row>
    <row r="164" spans="1:4">
      <c r="A164" s="538" t="s">
        <v>41</v>
      </c>
      <c r="B164" s="394">
        <v>200000</v>
      </c>
      <c r="C164" s="390">
        <f t="shared" si="26"/>
        <v>210000</v>
      </c>
      <c r="D164" s="390">
        <f t="shared" si="26"/>
        <v>220500</v>
      </c>
    </row>
    <row r="165" spans="1:4">
      <c r="A165" s="541" t="s">
        <v>818</v>
      </c>
      <c r="B165" s="391">
        <v>100000</v>
      </c>
      <c r="C165" s="390">
        <f t="shared" si="26"/>
        <v>105000</v>
      </c>
      <c r="D165" s="390">
        <f t="shared" si="26"/>
        <v>110250</v>
      </c>
    </row>
    <row r="166" spans="1:4">
      <c r="A166" s="542" t="s">
        <v>913</v>
      </c>
      <c r="B166" s="392">
        <v>200000</v>
      </c>
      <c r="C166" s="390">
        <f t="shared" si="26"/>
        <v>210000</v>
      </c>
      <c r="D166" s="390">
        <f t="shared" si="26"/>
        <v>220500</v>
      </c>
    </row>
    <row r="167" spans="1:4">
      <c r="A167" s="539" t="s">
        <v>91</v>
      </c>
      <c r="B167" s="388">
        <f>B168+B169+B170+B171</f>
        <v>600000</v>
      </c>
      <c r="C167" s="384">
        <f t="shared" si="26"/>
        <v>630000</v>
      </c>
      <c r="D167" s="384">
        <f t="shared" si="26"/>
        <v>661500</v>
      </c>
    </row>
    <row r="168" spans="1:4">
      <c r="A168" s="541" t="s">
        <v>44</v>
      </c>
      <c r="B168" s="391">
        <v>0</v>
      </c>
      <c r="C168" s="384">
        <f t="shared" si="26"/>
        <v>0</v>
      </c>
      <c r="D168" s="384">
        <f t="shared" si="26"/>
        <v>0</v>
      </c>
    </row>
    <row r="169" spans="1:4">
      <c r="A169" s="540" t="s">
        <v>772</v>
      </c>
      <c r="B169" s="389">
        <v>100000</v>
      </c>
      <c r="C169" s="390">
        <f t="shared" si="26"/>
        <v>105000</v>
      </c>
      <c r="D169" s="390">
        <f t="shared" si="26"/>
        <v>110250</v>
      </c>
    </row>
    <row r="170" spans="1:4">
      <c r="A170" s="540" t="s">
        <v>45</v>
      </c>
      <c r="B170" s="389">
        <v>500000</v>
      </c>
      <c r="C170" s="390">
        <f t="shared" si="26"/>
        <v>525000</v>
      </c>
      <c r="D170" s="390">
        <f t="shared" si="26"/>
        <v>551250</v>
      </c>
    </row>
    <row r="171" spans="1:4">
      <c r="A171" s="542" t="s">
        <v>46</v>
      </c>
      <c r="B171" s="392">
        <v>0</v>
      </c>
      <c r="C171" s="384">
        <f t="shared" si="26"/>
        <v>0</v>
      </c>
      <c r="D171" s="384">
        <f t="shared" si="26"/>
        <v>0</v>
      </c>
    </row>
    <row r="172" spans="1:4">
      <c r="A172" s="539" t="s">
        <v>718</v>
      </c>
      <c r="B172" s="388">
        <f>B173+B174</f>
        <v>0</v>
      </c>
      <c r="C172" s="384">
        <f t="shared" si="26"/>
        <v>0</v>
      </c>
      <c r="D172" s="384">
        <f t="shared" si="26"/>
        <v>0</v>
      </c>
    </row>
    <row r="173" spans="1:4">
      <c r="A173" s="541" t="s">
        <v>719</v>
      </c>
      <c r="B173" s="391"/>
      <c r="C173" s="384">
        <f t="shared" si="26"/>
        <v>0</v>
      </c>
      <c r="D173" s="384">
        <f t="shared" si="26"/>
        <v>0</v>
      </c>
    </row>
    <row r="174" spans="1:4">
      <c r="A174" s="542" t="s">
        <v>796</v>
      </c>
      <c r="B174" s="392">
        <v>0</v>
      </c>
      <c r="C174" s="384">
        <f t="shared" si="26"/>
        <v>0</v>
      </c>
      <c r="D174" s="384">
        <f t="shared" si="26"/>
        <v>0</v>
      </c>
    </row>
    <row r="175" spans="1:4">
      <c r="A175" s="539" t="s">
        <v>47</v>
      </c>
      <c r="B175" s="388">
        <f>B176+B177+B178+B179+B180</f>
        <v>2499996</v>
      </c>
      <c r="C175" s="384">
        <f t="shared" si="26"/>
        <v>2624995.8000000003</v>
      </c>
      <c r="D175" s="384">
        <f t="shared" si="26"/>
        <v>2756245.5900000003</v>
      </c>
    </row>
    <row r="176" spans="1:4">
      <c r="A176" s="540" t="s">
        <v>701</v>
      </c>
      <c r="B176" s="389">
        <v>1500000</v>
      </c>
      <c r="C176" s="390">
        <f t="shared" si="26"/>
        <v>1575000</v>
      </c>
      <c r="D176" s="390">
        <f t="shared" si="26"/>
        <v>1653750</v>
      </c>
    </row>
    <row r="177" spans="1:4">
      <c r="A177" s="540" t="s">
        <v>702</v>
      </c>
      <c r="B177" s="389">
        <v>999996</v>
      </c>
      <c r="C177" s="390">
        <f t="shared" si="26"/>
        <v>1049995.8</v>
      </c>
      <c r="D177" s="390">
        <f t="shared" si="26"/>
        <v>1102495.5900000001</v>
      </c>
    </row>
    <row r="178" spans="1:4">
      <c r="A178" s="542" t="s">
        <v>797</v>
      </c>
      <c r="B178" s="392">
        <v>0</v>
      </c>
      <c r="C178" s="384">
        <f t="shared" si="26"/>
        <v>0</v>
      </c>
      <c r="D178" s="384">
        <f t="shared" si="26"/>
        <v>0</v>
      </c>
    </row>
    <row r="179" spans="1:4">
      <c r="A179" s="542" t="s">
        <v>798</v>
      </c>
      <c r="B179" s="392"/>
      <c r="C179" s="384">
        <f t="shared" si="26"/>
        <v>0</v>
      </c>
      <c r="D179" s="384">
        <f t="shared" si="26"/>
        <v>0</v>
      </c>
    </row>
    <row r="180" spans="1:4">
      <c r="A180" s="542" t="s">
        <v>703</v>
      </c>
      <c r="B180" s="392">
        <v>0</v>
      </c>
      <c r="C180" s="384">
        <f t="shared" si="26"/>
        <v>0</v>
      </c>
      <c r="D180" s="384">
        <f t="shared" si="26"/>
        <v>0</v>
      </c>
    </row>
    <row r="181" spans="1:4">
      <c r="A181" s="538" t="s">
        <v>914</v>
      </c>
      <c r="B181" s="394">
        <v>0</v>
      </c>
      <c r="C181" s="384">
        <f t="shared" si="26"/>
        <v>0</v>
      </c>
      <c r="D181" s="384">
        <f t="shared" si="26"/>
        <v>0</v>
      </c>
    </row>
    <row r="182" spans="1:4">
      <c r="A182" s="539" t="s">
        <v>49</v>
      </c>
      <c r="B182" s="388">
        <f>B183+B184</f>
        <v>2500000</v>
      </c>
      <c r="C182" s="384">
        <f t="shared" si="26"/>
        <v>2625000</v>
      </c>
      <c r="D182" s="384">
        <f t="shared" si="26"/>
        <v>2756250</v>
      </c>
    </row>
    <row r="183" spans="1:4">
      <c r="A183" s="540" t="s">
        <v>760</v>
      </c>
      <c r="B183" s="389">
        <v>1500000</v>
      </c>
      <c r="C183" s="390">
        <f t="shared" si="26"/>
        <v>1575000</v>
      </c>
      <c r="D183" s="390">
        <f t="shared" si="26"/>
        <v>1653750</v>
      </c>
    </row>
    <row r="184" spans="1:4">
      <c r="A184" s="544" t="s">
        <v>915</v>
      </c>
      <c r="B184" s="395">
        <v>1000000</v>
      </c>
      <c r="C184" s="390">
        <f t="shared" si="26"/>
        <v>1050000</v>
      </c>
      <c r="D184" s="390">
        <f t="shared" si="26"/>
        <v>1102500</v>
      </c>
    </row>
    <row r="185" spans="1:4">
      <c r="A185" s="539" t="s">
        <v>677</v>
      </c>
      <c r="B185" s="388">
        <f>B186</f>
        <v>0</v>
      </c>
      <c r="C185" s="384">
        <f t="shared" si="26"/>
        <v>0</v>
      </c>
      <c r="D185" s="384">
        <f t="shared" si="26"/>
        <v>0</v>
      </c>
    </row>
    <row r="186" spans="1:4">
      <c r="A186" s="542" t="s">
        <v>720</v>
      </c>
      <c r="B186" s="392">
        <v>0</v>
      </c>
      <c r="C186" s="384">
        <f t="shared" si="26"/>
        <v>0</v>
      </c>
      <c r="D186" s="384">
        <f t="shared" si="26"/>
        <v>0</v>
      </c>
    </row>
    <row r="187" spans="1:4">
      <c r="A187" s="539" t="s">
        <v>55</v>
      </c>
      <c r="B187" s="388">
        <f>B188+B189</f>
        <v>2178275.31</v>
      </c>
      <c r="C187" s="384">
        <f t="shared" si="26"/>
        <v>2287189.0755000003</v>
      </c>
      <c r="D187" s="384">
        <f t="shared" si="26"/>
        <v>2401548.5292750006</v>
      </c>
    </row>
    <row r="188" spans="1:4">
      <c r="A188" s="540" t="s">
        <v>56</v>
      </c>
      <c r="B188" s="389">
        <v>1511976</v>
      </c>
      <c r="C188" s="390">
        <f t="shared" si="26"/>
        <v>1587574.8</v>
      </c>
      <c r="D188" s="390">
        <f t="shared" si="26"/>
        <v>1666953.54</v>
      </c>
    </row>
    <row r="189" spans="1:4">
      <c r="A189" s="540" t="s">
        <v>704</v>
      </c>
      <c r="B189" s="389">
        <v>666299.31000000006</v>
      </c>
      <c r="C189" s="390">
        <f t="shared" si="26"/>
        <v>699614.27550000011</v>
      </c>
      <c r="D189" s="390">
        <f t="shared" si="26"/>
        <v>734594.98927500017</v>
      </c>
    </row>
    <row r="190" spans="1:4">
      <c r="A190" s="539" t="s">
        <v>58</v>
      </c>
      <c r="B190" s="388">
        <f>B191</f>
        <v>1000000</v>
      </c>
      <c r="C190" s="384">
        <f t="shared" si="26"/>
        <v>1050000</v>
      </c>
      <c r="D190" s="384">
        <f t="shared" si="26"/>
        <v>1102500</v>
      </c>
    </row>
    <row r="191" spans="1:4">
      <c r="A191" s="540" t="s">
        <v>59</v>
      </c>
      <c r="B191" s="389">
        <v>1000000</v>
      </c>
      <c r="C191" s="390">
        <f t="shared" si="26"/>
        <v>1050000</v>
      </c>
      <c r="D191" s="390">
        <f t="shared" si="26"/>
        <v>1102500</v>
      </c>
    </row>
    <row r="192" spans="1:4">
      <c r="A192" s="539" t="s">
        <v>60</v>
      </c>
      <c r="B192" s="388">
        <f>B193+B194+B195+B196+B197+B198+B199+B200+B201+B202</f>
        <v>4220000</v>
      </c>
      <c r="C192" s="384">
        <f t="shared" si="26"/>
        <v>4431000</v>
      </c>
      <c r="D192" s="384">
        <f t="shared" si="26"/>
        <v>4652550</v>
      </c>
    </row>
    <row r="193" spans="1:4">
      <c r="A193" s="542" t="s">
        <v>801</v>
      </c>
      <c r="B193" s="392">
        <v>0</v>
      </c>
      <c r="C193" s="384">
        <f t="shared" si="26"/>
        <v>0</v>
      </c>
      <c r="D193" s="384">
        <f t="shared" si="26"/>
        <v>0</v>
      </c>
    </row>
    <row r="194" spans="1:4">
      <c r="A194" s="542" t="s">
        <v>103</v>
      </c>
      <c r="B194" s="392">
        <v>0</v>
      </c>
      <c r="C194" s="384">
        <f t="shared" si="26"/>
        <v>0</v>
      </c>
      <c r="D194" s="384">
        <f t="shared" si="26"/>
        <v>0</v>
      </c>
    </row>
    <row r="195" spans="1:4">
      <c r="A195" s="545" t="s">
        <v>916</v>
      </c>
      <c r="B195" s="396">
        <v>0</v>
      </c>
      <c r="C195" s="384">
        <f t="shared" si="26"/>
        <v>0</v>
      </c>
      <c r="D195" s="384">
        <f t="shared" si="26"/>
        <v>0</v>
      </c>
    </row>
    <row r="196" spans="1:4">
      <c r="A196" s="540" t="s">
        <v>107</v>
      </c>
      <c r="B196" s="389">
        <v>1320000</v>
      </c>
      <c r="C196" s="384">
        <f t="shared" si="26"/>
        <v>1386000</v>
      </c>
      <c r="D196" s="384">
        <f t="shared" si="26"/>
        <v>1455300</v>
      </c>
    </row>
    <row r="197" spans="1:4">
      <c r="A197" s="542" t="s">
        <v>61</v>
      </c>
      <c r="B197" s="392">
        <v>100000</v>
      </c>
      <c r="C197" s="390">
        <f t="shared" si="26"/>
        <v>105000</v>
      </c>
      <c r="D197" s="390">
        <f t="shared" si="26"/>
        <v>110250</v>
      </c>
    </row>
    <row r="198" spans="1:4">
      <c r="A198" s="540" t="s">
        <v>54</v>
      </c>
      <c r="B198" s="389">
        <v>300000</v>
      </c>
      <c r="C198" s="390">
        <f t="shared" si="26"/>
        <v>315000</v>
      </c>
      <c r="D198" s="390">
        <f t="shared" si="26"/>
        <v>330750</v>
      </c>
    </row>
    <row r="199" spans="1:4">
      <c r="A199" s="540" t="s">
        <v>717</v>
      </c>
      <c r="B199" s="389"/>
      <c r="C199" s="384">
        <f t="shared" si="26"/>
        <v>0</v>
      </c>
      <c r="D199" s="384">
        <f t="shared" si="26"/>
        <v>0</v>
      </c>
    </row>
    <row r="200" spans="1:4">
      <c r="A200" s="540" t="s">
        <v>917</v>
      </c>
      <c r="B200" s="389">
        <v>0</v>
      </c>
      <c r="C200" s="384">
        <f t="shared" si="26"/>
        <v>0</v>
      </c>
      <c r="D200" s="384">
        <f t="shared" si="26"/>
        <v>0</v>
      </c>
    </row>
    <row r="201" spans="1:4">
      <c r="A201" s="542" t="s">
        <v>805</v>
      </c>
      <c r="B201" s="392">
        <v>0</v>
      </c>
      <c r="C201" s="384">
        <f t="shared" si="26"/>
        <v>0</v>
      </c>
      <c r="D201" s="384">
        <f t="shared" si="26"/>
        <v>0</v>
      </c>
    </row>
    <row r="202" spans="1:4">
      <c r="A202" s="542" t="s">
        <v>918</v>
      </c>
      <c r="B202" s="392">
        <v>2500000</v>
      </c>
      <c r="C202" s="390">
        <f t="shared" si="26"/>
        <v>2625000</v>
      </c>
      <c r="D202" s="390">
        <f t="shared" si="26"/>
        <v>2756250</v>
      </c>
    </row>
    <row r="203" spans="1:4">
      <c r="A203" s="539" t="s">
        <v>64</v>
      </c>
      <c r="B203" s="388">
        <f>B204</f>
        <v>500000</v>
      </c>
      <c r="C203" s="384">
        <f t="shared" si="26"/>
        <v>525000</v>
      </c>
      <c r="D203" s="384">
        <f t="shared" si="26"/>
        <v>551250</v>
      </c>
    </row>
    <row r="204" spans="1:4">
      <c r="A204" s="540" t="s">
        <v>65</v>
      </c>
      <c r="B204" s="389">
        <v>500000</v>
      </c>
      <c r="C204" s="390">
        <f t="shared" si="26"/>
        <v>525000</v>
      </c>
      <c r="D204" s="390">
        <f t="shared" si="26"/>
        <v>551250</v>
      </c>
    </row>
    <row r="205" spans="1:4">
      <c r="A205" s="539" t="s">
        <v>112</v>
      </c>
      <c r="B205" s="388">
        <f>B206+B207+B208+B209+B210</f>
        <v>200000</v>
      </c>
      <c r="C205" s="384">
        <f t="shared" si="26"/>
        <v>210000</v>
      </c>
      <c r="D205" s="384">
        <f t="shared" si="26"/>
        <v>220500</v>
      </c>
    </row>
    <row r="206" spans="1:4">
      <c r="A206" s="542" t="s">
        <v>113</v>
      </c>
      <c r="B206" s="392">
        <v>0</v>
      </c>
      <c r="C206" s="384">
        <f t="shared" si="26"/>
        <v>0</v>
      </c>
      <c r="D206" s="384">
        <f t="shared" si="26"/>
        <v>0</v>
      </c>
    </row>
    <row r="207" spans="1:4">
      <c r="A207" s="538" t="s">
        <v>66</v>
      </c>
      <c r="B207" s="394">
        <v>0</v>
      </c>
      <c r="C207" s="384">
        <f t="shared" si="26"/>
        <v>0</v>
      </c>
      <c r="D207" s="384">
        <f t="shared" si="26"/>
        <v>0</v>
      </c>
    </row>
    <row r="208" spans="1:4">
      <c r="A208" s="542" t="s">
        <v>807</v>
      </c>
      <c r="B208" s="392">
        <v>0</v>
      </c>
      <c r="C208" s="384">
        <f t="shared" si="26"/>
        <v>0</v>
      </c>
      <c r="D208" s="384">
        <f t="shared" si="26"/>
        <v>0</v>
      </c>
    </row>
    <row r="209" spans="1:4">
      <c r="A209" s="542" t="s">
        <v>919</v>
      </c>
      <c r="B209" s="392">
        <v>0</v>
      </c>
      <c r="C209" s="384">
        <f t="shared" si="26"/>
        <v>0</v>
      </c>
      <c r="D209" s="384">
        <f t="shared" si="26"/>
        <v>0</v>
      </c>
    </row>
    <row r="210" spans="1:4">
      <c r="A210" s="540" t="s">
        <v>819</v>
      </c>
      <c r="B210" s="389">
        <v>200000</v>
      </c>
      <c r="C210" s="384">
        <f t="shared" si="26"/>
        <v>210000</v>
      </c>
      <c r="D210" s="384">
        <f t="shared" si="26"/>
        <v>220500</v>
      </c>
    </row>
    <row r="211" spans="1:4">
      <c r="A211" s="539" t="s">
        <v>26</v>
      </c>
      <c r="B211" s="388">
        <f>B212+B213+B214</f>
        <v>0</v>
      </c>
      <c r="C211" s="384">
        <f t="shared" si="26"/>
        <v>0</v>
      </c>
      <c r="D211" s="384">
        <f t="shared" si="26"/>
        <v>0</v>
      </c>
    </row>
    <row r="212" spans="1:4">
      <c r="A212" s="542" t="s">
        <v>809</v>
      </c>
      <c r="B212" s="392">
        <v>0</v>
      </c>
      <c r="C212" s="384">
        <f t="shared" si="26"/>
        <v>0</v>
      </c>
      <c r="D212" s="384">
        <f t="shared" si="26"/>
        <v>0</v>
      </c>
    </row>
    <row r="213" spans="1:4">
      <c r="A213" s="539" t="s">
        <v>28</v>
      </c>
      <c r="B213" s="388">
        <v>0</v>
      </c>
      <c r="C213" s="384">
        <f t="shared" si="26"/>
        <v>0</v>
      </c>
      <c r="D213" s="384">
        <f t="shared" si="26"/>
        <v>0</v>
      </c>
    </row>
    <row r="214" spans="1:4">
      <c r="A214" s="539" t="s">
        <v>810</v>
      </c>
      <c r="B214" s="388"/>
      <c r="C214" s="384">
        <f t="shared" si="26"/>
        <v>0</v>
      </c>
      <c r="D214" s="384">
        <f t="shared" si="26"/>
        <v>0</v>
      </c>
    </row>
    <row r="215" spans="1:4">
      <c r="A215" s="539" t="s">
        <v>115</v>
      </c>
      <c r="B215" s="388">
        <f>B216+B217+B218+B219</f>
        <v>800000</v>
      </c>
      <c r="C215" s="384">
        <f t="shared" si="26"/>
        <v>840000</v>
      </c>
      <c r="D215" s="384">
        <f t="shared" si="26"/>
        <v>882000</v>
      </c>
    </row>
    <row r="216" spans="1:4">
      <c r="A216" s="538" t="s">
        <v>69</v>
      </c>
      <c r="B216" s="394">
        <v>800000</v>
      </c>
      <c r="C216" s="384">
        <f t="shared" si="26"/>
        <v>840000</v>
      </c>
      <c r="D216" s="384">
        <f t="shared" si="26"/>
        <v>882000</v>
      </c>
    </row>
    <row r="217" spans="1:4">
      <c r="A217" s="540" t="s">
        <v>70</v>
      </c>
      <c r="B217" s="389"/>
      <c r="C217" s="384">
        <f t="shared" si="26"/>
        <v>0</v>
      </c>
      <c r="D217" s="384">
        <f t="shared" si="26"/>
        <v>0</v>
      </c>
    </row>
    <row r="218" spans="1:4">
      <c r="A218" s="542" t="s">
        <v>811</v>
      </c>
      <c r="B218" s="392"/>
      <c r="C218" s="384">
        <f t="shared" si="26"/>
        <v>0</v>
      </c>
      <c r="D218" s="384">
        <f t="shared" si="26"/>
        <v>0</v>
      </c>
    </row>
    <row r="219" spans="1:4">
      <c r="A219" s="538" t="s">
        <v>920</v>
      </c>
      <c r="B219" s="394"/>
      <c r="C219" s="384">
        <f>1.05*B219</f>
        <v>0</v>
      </c>
      <c r="D219" s="384">
        <f>1.05*C219</f>
        <v>0</v>
      </c>
    </row>
    <row r="220" spans="1:4">
      <c r="A220" s="543" t="s">
        <v>412</v>
      </c>
      <c r="B220" s="393">
        <f>B215+B211+B205+B203+B192+B190+B187+B185+B182+B175+B172+B167+B161+B155+B152+B149+B146</f>
        <v>7301246929.3100004</v>
      </c>
      <c r="C220" s="384">
        <f t="shared" ref="C220:D232" si="27">(1.05*B220)</f>
        <v>7666309275.7755003</v>
      </c>
      <c r="D220" s="384">
        <f t="shared" si="27"/>
        <v>8049624739.5642757</v>
      </c>
    </row>
    <row r="221" spans="1:4" ht="56">
      <c r="A221" s="520" t="s">
        <v>921</v>
      </c>
      <c r="B221" s="382" t="s">
        <v>557</v>
      </c>
      <c r="C221" s="382" t="s">
        <v>558</v>
      </c>
      <c r="D221" s="382" t="s">
        <v>559</v>
      </c>
    </row>
    <row r="222" spans="1:4">
      <c r="A222" s="539" t="s">
        <v>36</v>
      </c>
      <c r="B222" s="388">
        <f>B223+B224+B225</f>
        <v>1400000</v>
      </c>
      <c r="C222" s="384">
        <f t="shared" ref="C222:D227" si="28">(1.05*B222)</f>
        <v>1470000</v>
      </c>
      <c r="D222" s="384">
        <f t="shared" si="28"/>
        <v>1543500</v>
      </c>
    </row>
    <row r="223" spans="1:4">
      <c r="A223" s="540" t="s">
        <v>699</v>
      </c>
      <c r="B223" s="389">
        <v>0</v>
      </c>
      <c r="C223" s="384">
        <f t="shared" si="28"/>
        <v>0</v>
      </c>
      <c r="D223" s="384">
        <f t="shared" si="28"/>
        <v>0</v>
      </c>
    </row>
    <row r="224" spans="1:4">
      <c r="A224" s="540" t="s">
        <v>794</v>
      </c>
      <c r="B224" s="389">
        <v>600000</v>
      </c>
      <c r="C224" s="384">
        <f t="shared" si="28"/>
        <v>630000</v>
      </c>
      <c r="D224" s="384">
        <f t="shared" si="28"/>
        <v>661500</v>
      </c>
    </row>
    <row r="225" spans="1:4">
      <c r="A225" s="540" t="s">
        <v>700</v>
      </c>
      <c r="B225" s="389">
        <v>800000</v>
      </c>
      <c r="C225" s="384">
        <f t="shared" si="28"/>
        <v>840000</v>
      </c>
      <c r="D225" s="384">
        <f t="shared" si="28"/>
        <v>882000</v>
      </c>
    </row>
    <row r="226" spans="1:4">
      <c r="A226" s="539" t="s">
        <v>49</v>
      </c>
      <c r="B226" s="388">
        <f>B227+B228</f>
        <v>1000000</v>
      </c>
      <c r="C226" s="384">
        <f t="shared" si="28"/>
        <v>1050000</v>
      </c>
      <c r="D226" s="384">
        <f t="shared" si="28"/>
        <v>1102500</v>
      </c>
    </row>
    <row r="227" spans="1:4">
      <c r="A227" s="540" t="s">
        <v>760</v>
      </c>
      <c r="B227" s="389">
        <v>500000</v>
      </c>
      <c r="C227" s="390">
        <f t="shared" si="28"/>
        <v>525000</v>
      </c>
      <c r="D227" s="390">
        <f t="shared" si="28"/>
        <v>551250</v>
      </c>
    </row>
    <row r="228" spans="1:4">
      <c r="A228" s="540" t="s">
        <v>922</v>
      </c>
      <c r="B228" s="389">
        <v>500000</v>
      </c>
      <c r="C228" s="390">
        <f>(1.05*B228)</f>
        <v>525000</v>
      </c>
      <c r="D228" s="390">
        <f>(1.05*C228)</f>
        <v>551250</v>
      </c>
    </row>
    <row r="229" spans="1:4">
      <c r="A229" s="539" t="s">
        <v>115</v>
      </c>
      <c r="B229" s="388">
        <f>B230+B231</f>
        <v>1100000</v>
      </c>
      <c r="C229" s="388">
        <f>C230+C231</f>
        <v>1155000</v>
      </c>
      <c r="D229" s="384">
        <f t="shared" ref="D229:D230" si="29">(1.05*C229)</f>
        <v>1212750</v>
      </c>
    </row>
    <row r="230" spans="1:4">
      <c r="A230" s="538" t="s">
        <v>69</v>
      </c>
      <c r="B230" s="394">
        <v>600000</v>
      </c>
      <c r="C230" s="390">
        <f t="shared" ref="C230" si="30">(1.05*B230)</f>
        <v>630000</v>
      </c>
      <c r="D230" s="390">
        <f t="shared" si="29"/>
        <v>661500</v>
      </c>
    </row>
    <row r="231" spans="1:4">
      <c r="A231" s="540" t="s">
        <v>70</v>
      </c>
      <c r="B231" s="389">
        <v>500000</v>
      </c>
      <c r="C231" s="390">
        <f t="shared" si="27"/>
        <v>525000</v>
      </c>
      <c r="D231" s="390">
        <f t="shared" si="27"/>
        <v>551250</v>
      </c>
    </row>
    <row r="232" spans="1:4">
      <c r="A232" s="543" t="s">
        <v>560</v>
      </c>
      <c r="B232" s="393">
        <f>B222+B226+B229</f>
        <v>3500000</v>
      </c>
      <c r="C232" s="384">
        <f t="shared" si="27"/>
        <v>3675000</v>
      </c>
      <c r="D232" s="384">
        <f t="shared" si="27"/>
        <v>3858750</v>
      </c>
    </row>
    <row r="233" spans="1:4" ht="56">
      <c r="A233" s="520" t="s">
        <v>923</v>
      </c>
      <c r="B233" s="382" t="s">
        <v>557</v>
      </c>
      <c r="C233" s="382" t="s">
        <v>558</v>
      </c>
      <c r="D233" s="382" t="s">
        <v>559</v>
      </c>
    </row>
    <row r="234" spans="1:4">
      <c r="A234" s="539" t="s">
        <v>36</v>
      </c>
      <c r="B234" s="388">
        <f>B235+B236+B237</f>
        <v>600000</v>
      </c>
      <c r="C234" s="384">
        <f t="shared" ref="C234:D244" si="31">(1.05*B234)</f>
        <v>630000</v>
      </c>
      <c r="D234" s="384">
        <f t="shared" si="31"/>
        <v>661500</v>
      </c>
    </row>
    <row r="235" spans="1:4">
      <c r="A235" s="540" t="s">
        <v>699</v>
      </c>
      <c r="B235" s="389">
        <v>0</v>
      </c>
      <c r="C235" s="384">
        <f t="shared" si="31"/>
        <v>0</v>
      </c>
      <c r="D235" s="384">
        <f t="shared" si="31"/>
        <v>0</v>
      </c>
    </row>
    <row r="236" spans="1:4">
      <c r="A236" s="540" t="s">
        <v>794</v>
      </c>
      <c r="B236" s="389">
        <v>200000</v>
      </c>
      <c r="C236" s="384">
        <f t="shared" si="31"/>
        <v>210000</v>
      </c>
      <c r="D236" s="384">
        <f t="shared" si="31"/>
        <v>220500</v>
      </c>
    </row>
    <row r="237" spans="1:4">
      <c r="A237" s="540" t="s">
        <v>700</v>
      </c>
      <c r="B237" s="389">
        <v>400000</v>
      </c>
      <c r="C237" s="384">
        <f t="shared" si="31"/>
        <v>420000</v>
      </c>
      <c r="D237" s="384">
        <f t="shared" si="31"/>
        <v>441000</v>
      </c>
    </row>
    <row r="238" spans="1:4">
      <c r="A238" s="543" t="s">
        <v>49</v>
      </c>
      <c r="B238" s="393">
        <f>B240+B239</f>
        <v>200000</v>
      </c>
      <c r="C238" s="384">
        <f t="shared" si="31"/>
        <v>210000</v>
      </c>
      <c r="D238" s="384">
        <f t="shared" si="31"/>
        <v>220500</v>
      </c>
    </row>
    <row r="239" spans="1:4">
      <c r="A239" s="540" t="s">
        <v>760</v>
      </c>
      <c r="B239" s="389">
        <v>200000</v>
      </c>
      <c r="C239" s="390">
        <f t="shared" si="31"/>
        <v>210000</v>
      </c>
      <c r="D239" s="390">
        <f t="shared" si="31"/>
        <v>220500</v>
      </c>
    </row>
    <row r="240" spans="1:4">
      <c r="A240" s="540" t="s">
        <v>922</v>
      </c>
      <c r="B240" s="389">
        <v>0</v>
      </c>
      <c r="C240" s="384">
        <f t="shared" si="31"/>
        <v>0</v>
      </c>
      <c r="D240" s="384">
        <f t="shared" si="31"/>
        <v>0</v>
      </c>
    </row>
    <row r="241" spans="1:4">
      <c r="A241" s="539" t="s">
        <v>115</v>
      </c>
      <c r="B241" s="388">
        <f>B242</f>
        <v>200000</v>
      </c>
      <c r="C241" s="388">
        <f>C242+C243</f>
        <v>1260000</v>
      </c>
      <c r="D241" s="384">
        <f t="shared" si="31"/>
        <v>1323000</v>
      </c>
    </row>
    <row r="242" spans="1:4">
      <c r="A242" s="538" t="s">
        <v>924</v>
      </c>
      <c r="B242" s="387">
        <v>200000</v>
      </c>
      <c r="C242" s="390">
        <f>(1.05*B242)</f>
        <v>210000</v>
      </c>
      <c r="D242" s="390">
        <f>(1.05*C242)</f>
        <v>220500</v>
      </c>
    </row>
    <row r="243" spans="1:4">
      <c r="A243" s="543" t="s">
        <v>561</v>
      </c>
      <c r="B243" s="393">
        <f>B241+B238+B234</f>
        <v>1000000</v>
      </c>
      <c r="C243" s="384">
        <f t="shared" si="31"/>
        <v>1050000</v>
      </c>
      <c r="D243" s="384">
        <f t="shared" si="31"/>
        <v>1102500</v>
      </c>
    </row>
    <row r="244" spans="1:4">
      <c r="A244" s="539" t="s">
        <v>562</v>
      </c>
      <c r="B244" s="397">
        <f>B220+B232+B243</f>
        <v>7305746929.3100004</v>
      </c>
      <c r="C244" s="384">
        <f t="shared" si="31"/>
        <v>7671034275.7755003</v>
      </c>
      <c r="D244" s="384">
        <f t="shared" si="31"/>
        <v>8054585989.5642757</v>
      </c>
    </row>
    <row r="245" spans="1:4">
      <c r="A245" s="539" t="s">
        <v>73</v>
      </c>
      <c r="B245" s="397">
        <v>0</v>
      </c>
      <c r="C245" s="398">
        <v>0</v>
      </c>
      <c r="D245" s="398">
        <v>0</v>
      </c>
    </row>
    <row r="246" spans="1:4">
      <c r="A246" s="539" t="s">
        <v>563</v>
      </c>
      <c r="B246" s="397">
        <f>B244-B245</f>
        <v>7305746929.3100004</v>
      </c>
      <c r="C246" s="397">
        <f t="shared" ref="C246:D246" si="32">C244-C245</f>
        <v>7671034275.7755003</v>
      </c>
      <c r="D246" s="397">
        <f t="shared" si="32"/>
        <v>8054585989.5642757</v>
      </c>
    </row>
    <row r="247" spans="1:4" ht="56">
      <c r="A247" s="520" t="s">
        <v>925</v>
      </c>
      <c r="B247" s="382" t="s">
        <v>564</v>
      </c>
      <c r="C247" s="382" t="s">
        <v>565</v>
      </c>
      <c r="D247" s="382" t="s">
        <v>566</v>
      </c>
    </row>
    <row r="248" spans="1:4">
      <c r="A248" s="539" t="s">
        <v>29</v>
      </c>
      <c r="B248" s="388">
        <f>B249+B250</f>
        <v>100000</v>
      </c>
      <c r="C248" s="384">
        <f t="shared" ref="C248:D292" si="33">1.05*B248</f>
        <v>105000</v>
      </c>
      <c r="D248" s="384">
        <f t="shared" si="33"/>
        <v>110250</v>
      </c>
    </row>
    <row r="249" spans="1:4">
      <c r="A249" s="546" t="s">
        <v>30</v>
      </c>
      <c r="B249" s="399">
        <v>50000</v>
      </c>
      <c r="C249" s="384">
        <f t="shared" si="33"/>
        <v>52500</v>
      </c>
      <c r="D249" s="384">
        <f t="shared" si="33"/>
        <v>55125</v>
      </c>
    </row>
    <row r="250" spans="1:4">
      <c r="A250" s="547" t="s">
        <v>31</v>
      </c>
      <c r="B250" s="400">
        <v>50000</v>
      </c>
      <c r="C250" s="384">
        <f t="shared" si="33"/>
        <v>52500</v>
      </c>
      <c r="D250" s="384">
        <f t="shared" si="33"/>
        <v>55125</v>
      </c>
    </row>
    <row r="251" spans="1:4">
      <c r="A251" s="539" t="s">
        <v>32</v>
      </c>
      <c r="B251" s="388">
        <f>B252+B253</f>
        <v>500000</v>
      </c>
      <c r="C251" s="384">
        <f t="shared" si="33"/>
        <v>525000</v>
      </c>
      <c r="D251" s="384">
        <f t="shared" si="33"/>
        <v>551250</v>
      </c>
    </row>
    <row r="252" spans="1:4">
      <c r="A252" s="546" t="s">
        <v>698</v>
      </c>
      <c r="B252" s="399">
        <v>500000</v>
      </c>
      <c r="C252" s="384">
        <f t="shared" si="33"/>
        <v>525000</v>
      </c>
      <c r="D252" s="384">
        <f t="shared" si="33"/>
        <v>551250</v>
      </c>
    </row>
    <row r="253" spans="1:4">
      <c r="A253" s="541" t="s">
        <v>793</v>
      </c>
      <c r="B253" s="391"/>
      <c r="C253" s="384">
        <f t="shared" si="33"/>
        <v>0</v>
      </c>
      <c r="D253" s="384">
        <f t="shared" si="33"/>
        <v>0</v>
      </c>
    </row>
    <row r="254" spans="1:4">
      <c r="A254" s="539" t="s">
        <v>36</v>
      </c>
      <c r="B254" s="388">
        <f>B255+B256+B257</f>
        <v>3500000</v>
      </c>
      <c r="C254" s="384">
        <f t="shared" si="33"/>
        <v>3675000</v>
      </c>
      <c r="D254" s="384">
        <f t="shared" si="33"/>
        <v>3858750</v>
      </c>
    </row>
    <row r="255" spans="1:4">
      <c r="A255" s="548" t="s">
        <v>755</v>
      </c>
      <c r="B255" s="401">
        <v>1000000</v>
      </c>
      <c r="C255" s="390">
        <f t="shared" si="33"/>
        <v>1050000</v>
      </c>
      <c r="D255" s="390">
        <f t="shared" si="33"/>
        <v>1102500</v>
      </c>
    </row>
    <row r="256" spans="1:4">
      <c r="A256" s="548" t="s">
        <v>794</v>
      </c>
      <c r="B256" s="401">
        <v>1000000</v>
      </c>
      <c r="C256" s="390">
        <f t="shared" si="33"/>
        <v>1050000</v>
      </c>
      <c r="D256" s="390">
        <f t="shared" si="33"/>
        <v>1102500</v>
      </c>
    </row>
    <row r="257" spans="1:4">
      <c r="A257" s="549" t="s">
        <v>700</v>
      </c>
      <c r="B257" s="402">
        <v>1500000</v>
      </c>
      <c r="C257" s="390">
        <f t="shared" si="33"/>
        <v>1575000</v>
      </c>
      <c r="D257" s="390">
        <f t="shared" si="33"/>
        <v>1653750</v>
      </c>
    </row>
    <row r="258" spans="1:4">
      <c r="A258" s="543" t="s">
        <v>89</v>
      </c>
      <c r="B258" s="393">
        <f>B259+B260+B261+B262+B263</f>
        <v>1000000</v>
      </c>
      <c r="C258" s="384">
        <f t="shared" si="33"/>
        <v>1050000</v>
      </c>
      <c r="D258" s="384">
        <f t="shared" si="33"/>
        <v>1102500</v>
      </c>
    </row>
    <row r="259" spans="1:4">
      <c r="A259" s="538" t="s">
        <v>90</v>
      </c>
      <c r="B259" s="394">
        <v>100000</v>
      </c>
      <c r="C259" s="384">
        <f t="shared" si="33"/>
        <v>105000</v>
      </c>
      <c r="D259" s="384">
        <f t="shared" si="33"/>
        <v>110250</v>
      </c>
    </row>
    <row r="260" spans="1:4">
      <c r="A260" s="541" t="s">
        <v>673</v>
      </c>
      <c r="B260" s="391">
        <v>400000</v>
      </c>
      <c r="C260" s="384">
        <f t="shared" si="33"/>
        <v>420000</v>
      </c>
      <c r="D260" s="384">
        <f t="shared" si="33"/>
        <v>441000</v>
      </c>
    </row>
    <row r="261" spans="1:4">
      <c r="A261" s="538" t="s">
        <v>41</v>
      </c>
      <c r="B261" s="394">
        <v>400000</v>
      </c>
      <c r="C261" s="384">
        <f t="shared" si="33"/>
        <v>420000</v>
      </c>
      <c r="D261" s="384">
        <f t="shared" si="33"/>
        <v>441000</v>
      </c>
    </row>
    <row r="262" spans="1:4">
      <c r="A262" s="541" t="s">
        <v>818</v>
      </c>
      <c r="B262" s="391">
        <v>100000</v>
      </c>
      <c r="C262" s="384">
        <f t="shared" si="33"/>
        <v>105000</v>
      </c>
      <c r="D262" s="384">
        <f t="shared" si="33"/>
        <v>110250</v>
      </c>
    </row>
    <row r="263" spans="1:4">
      <c r="A263" s="542" t="s">
        <v>913</v>
      </c>
      <c r="B263" s="392">
        <v>0</v>
      </c>
      <c r="C263" s="384">
        <f t="shared" si="33"/>
        <v>0</v>
      </c>
      <c r="D263" s="384">
        <f t="shared" si="33"/>
        <v>0</v>
      </c>
    </row>
    <row r="264" spans="1:4">
      <c r="A264" s="539" t="s">
        <v>91</v>
      </c>
      <c r="B264" s="388">
        <f>B265+B266+B267+B268</f>
        <v>50000</v>
      </c>
      <c r="C264" s="384">
        <f t="shared" si="33"/>
        <v>52500</v>
      </c>
      <c r="D264" s="384">
        <f t="shared" si="33"/>
        <v>55125</v>
      </c>
    </row>
    <row r="265" spans="1:4">
      <c r="A265" s="541" t="s">
        <v>44</v>
      </c>
      <c r="B265" s="391"/>
      <c r="C265" s="384">
        <f t="shared" si="33"/>
        <v>0</v>
      </c>
      <c r="D265" s="384">
        <f t="shared" si="33"/>
        <v>0</v>
      </c>
    </row>
    <row r="266" spans="1:4">
      <c r="A266" s="546" t="s">
        <v>772</v>
      </c>
      <c r="B266" s="399">
        <v>50000</v>
      </c>
      <c r="C266" s="390">
        <f t="shared" si="33"/>
        <v>52500</v>
      </c>
      <c r="D266" s="390">
        <f t="shared" si="33"/>
        <v>55125</v>
      </c>
    </row>
    <row r="267" spans="1:4">
      <c r="A267" s="538" t="s">
        <v>45</v>
      </c>
      <c r="B267" s="394"/>
      <c r="C267" s="384">
        <f t="shared" si="33"/>
        <v>0</v>
      </c>
      <c r="D267" s="384">
        <f t="shared" si="33"/>
        <v>0</v>
      </c>
    </row>
    <row r="268" spans="1:4">
      <c r="A268" s="542" t="s">
        <v>46</v>
      </c>
      <c r="B268" s="392"/>
      <c r="C268" s="384">
        <f t="shared" si="33"/>
        <v>0</v>
      </c>
      <c r="D268" s="384">
        <f t="shared" si="33"/>
        <v>0</v>
      </c>
    </row>
    <row r="269" spans="1:4">
      <c r="A269" s="539" t="s">
        <v>718</v>
      </c>
      <c r="B269" s="388">
        <f>B270+B271</f>
        <v>0</v>
      </c>
      <c r="C269" s="384">
        <f t="shared" si="33"/>
        <v>0</v>
      </c>
      <c r="D269" s="384">
        <f t="shared" si="33"/>
        <v>0</v>
      </c>
    </row>
    <row r="270" spans="1:4">
      <c r="A270" s="541" t="s">
        <v>719</v>
      </c>
      <c r="B270" s="391"/>
      <c r="C270" s="384">
        <f t="shared" si="33"/>
        <v>0</v>
      </c>
      <c r="D270" s="384">
        <f t="shared" si="33"/>
        <v>0</v>
      </c>
    </row>
    <row r="271" spans="1:4">
      <c r="A271" s="542" t="s">
        <v>796</v>
      </c>
      <c r="B271" s="392"/>
      <c r="C271" s="384">
        <f t="shared" si="33"/>
        <v>0</v>
      </c>
      <c r="D271" s="384">
        <f t="shared" si="33"/>
        <v>0</v>
      </c>
    </row>
    <row r="272" spans="1:4">
      <c r="A272" s="539" t="s">
        <v>47</v>
      </c>
      <c r="B272" s="388">
        <f>B273+B274+B275+B276+B277</f>
        <v>1250000</v>
      </c>
      <c r="C272" s="384">
        <f t="shared" si="33"/>
        <v>1312500</v>
      </c>
      <c r="D272" s="384">
        <f t="shared" si="33"/>
        <v>1378125</v>
      </c>
    </row>
    <row r="273" spans="1:4">
      <c r="A273" s="548" t="s">
        <v>701</v>
      </c>
      <c r="B273" s="401">
        <f>-500000+1000000</f>
        <v>500000</v>
      </c>
      <c r="C273" s="390">
        <f t="shared" si="33"/>
        <v>525000</v>
      </c>
      <c r="D273" s="390">
        <f t="shared" si="33"/>
        <v>551250</v>
      </c>
    </row>
    <row r="274" spans="1:4">
      <c r="A274" s="549" t="s">
        <v>702</v>
      </c>
      <c r="B274" s="402">
        <v>750000</v>
      </c>
      <c r="C274" s="390">
        <f t="shared" si="33"/>
        <v>787500</v>
      </c>
      <c r="D274" s="390">
        <f t="shared" si="33"/>
        <v>826875</v>
      </c>
    </row>
    <row r="275" spans="1:4">
      <c r="A275" s="542" t="s">
        <v>797</v>
      </c>
      <c r="B275" s="392"/>
      <c r="C275" s="390">
        <f t="shared" si="33"/>
        <v>0</v>
      </c>
      <c r="D275" s="390">
        <f t="shared" si="33"/>
        <v>0</v>
      </c>
    </row>
    <row r="276" spans="1:4">
      <c r="A276" s="542" t="s">
        <v>798</v>
      </c>
      <c r="B276" s="392"/>
      <c r="C276" s="390">
        <f t="shared" si="33"/>
        <v>0</v>
      </c>
      <c r="D276" s="390">
        <f t="shared" si="33"/>
        <v>0</v>
      </c>
    </row>
    <row r="277" spans="1:4">
      <c r="A277" s="542" t="s">
        <v>703</v>
      </c>
      <c r="B277" s="392"/>
      <c r="C277" s="384">
        <f t="shared" si="33"/>
        <v>0</v>
      </c>
      <c r="D277" s="384">
        <f t="shared" si="33"/>
        <v>0</v>
      </c>
    </row>
    <row r="278" spans="1:4">
      <c r="A278" s="539" t="s">
        <v>49</v>
      </c>
      <c r="B278" s="388">
        <f>B279+B280</f>
        <v>2353600</v>
      </c>
      <c r="C278" s="384">
        <f t="shared" si="33"/>
        <v>2471280</v>
      </c>
      <c r="D278" s="384">
        <f t="shared" si="33"/>
        <v>2594844</v>
      </c>
    </row>
    <row r="279" spans="1:4">
      <c r="A279" s="546" t="s">
        <v>760</v>
      </c>
      <c r="B279" s="399">
        <v>1000000</v>
      </c>
      <c r="C279" s="390">
        <f t="shared" si="33"/>
        <v>1050000</v>
      </c>
      <c r="D279" s="390">
        <f t="shared" si="33"/>
        <v>1102500</v>
      </c>
    </row>
    <row r="280" spans="1:4">
      <c r="A280" s="548" t="s">
        <v>915</v>
      </c>
      <c r="B280" s="401">
        <v>1353600</v>
      </c>
      <c r="C280" s="390">
        <f t="shared" si="33"/>
        <v>1421280</v>
      </c>
      <c r="D280" s="390">
        <f t="shared" si="33"/>
        <v>1492344</v>
      </c>
    </row>
    <row r="281" spans="1:4">
      <c r="A281" s="539" t="s">
        <v>677</v>
      </c>
      <c r="B281" s="388">
        <f>B282</f>
        <v>500000</v>
      </c>
      <c r="C281" s="384">
        <f t="shared" si="33"/>
        <v>525000</v>
      </c>
      <c r="D281" s="384">
        <f t="shared" si="33"/>
        <v>551250</v>
      </c>
    </row>
    <row r="282" spans="1:4">
      <c r="A282" s="542" t="s">
        <v>780</v>
      </c>
      <c r="B282" s="392">
        <v>500000</v>
      </c>
      <c r="C282" s="384">
        <f t="shared" si="33"/>
        <v>525000</v>
      </c>
      <c r="D282" s="384">
        <f t="shared" si="33"/>
        <v>551250</v>
      </c>
    </row>
    <row r="283" spans="1:4">
      <c r="A283" s="539" t="s">
        <v>55</v>
      </c>
      <c r="B283" s="403">
        <f>B284+B285</f>
        <v>695627.69466419891</v>
      </c>
      <c r="C283" s="384">
        <f t="shared" si="33"/>
        <v>730409.07939740887</v>
      </c>
      <c r="D283" s="384">
        <f t="shared" si="33"/>
        <v>766929.53336727933</v>
      </c>
    </row>
    <row r="284" spans="1:4">
      <c r="A284" s="547" t="s">
        <v>926</v>
      </c>
      <c r="B284" s="400">
        <v>645627.69466419891</v>
      </c>
      <c r="C284" s="390">
        <f t="shared" si="33"/>
        <v>677909.07939740887</v>
      </c>
      <c r="D284" s="390">
        <f t="shared" si="33"/>
        <v>711804.53336727933</v>
      </c>
    </row>
    <row r="285" spans="1:4">
      <c r="A285" s="546" t="s">
        <v>704</v>
      </c>
      <c r="B285" s="399">
        <v>50000</v>
      </c>
      <c r="C285" s="390">
        <f t="shared" si="33"/>
        <v>52500</v>
      </c>
      <c r="D285" s="390">
        <f t="shared" si="33"/>
        <v>55125</v>
      </c>
    </row>
    <row r="286" spans="1:4">
      <c r="A286" s="539" t="s">
        <v>58</v>
      </c>
      <c r="B286" s="388">
        <f>B287</f>
        <v>500000</v>
      </c>
      <c r="C286" s="384">
        <f t="shared" si="33"/>
        <v>525000</v>
      </c>
      <c r="D286" s="384">
        <f t="shared" si="33"/>
        <v>551250</v>
      </c>
    </row>
    <row r="287" spans="1:4">
      <c r="A287" s="550" t="s">
        <v>59</v>
      </c>
      <c r="B287" s="404">
        <f>-500000+1000000</f>
        <v>500000</v>
      </c>
      <c r="C287" s="390">
        <f t="shared" si="33"/>
        <v>525000</v>
      </c>
      <c r="D287" s="390">
        <f t="shared" si="33"/>
        <v>551250</v>
      </c>
    </row>
    <row r="288" spans="1:4">
      <c r="A288" s="539" t="s">
        <v>60</v>
      </c>
      <c r="B288" s="388">
        <f>B289+B290+B291+B292+B293+B294+B295+B296+B297+B298</f>
        <v>58020000</v>
      </c>
      <c r="C288" s="384">
        <f t="shared" si="33"/>
        <v>60921000</v>
      </c>
      <c r="D288" s="384">
        <f t="shared" si="33"/>
        <v>63967050</v>
      </c>
    </row>
    <row r="289" spans="1:5">
      <c r="A289" s="542" t="s">
        <v>801</v>
      </c>
      <c r="B289" s="392"/>
      <c r="C289" s="384">
        <f t="shared" si="33"/>
        <v>0</v>
      </c>
      <c r="D289" s="384">
        <f t="shared" si="33"/>
        <v>0</v>
      </c>
    </row>
    <row r="290" spans="1:5">
      <c r="A290" s="542" t="s">
        <v>103</v>
      </c>
      <c r="B290" s="392"/>
      <c r="C290" s="384">
        <f t="shared" si="33"/>
        <v>0</v>
      </c>
      <c r="D290" s="384">
        <f t="shared" si="33"/>
        <v>0</v>
      </c>
    </row>
    <row r="291" spans="1:5">
      <c r="A291" s="542" t="s">
        <v>61</v>
      </c>
      <c r="B291" s="392">
        <v>120000</v>
      </c>
      <c r="C291" s="390">
        <f t="shared" si="33"/>
        <v>126000</v>
      </c>
      <c r="D291" s="390">
        <f t="shared" si="33"/>
        <v>132300</v>
      </c>
    </row>
    <row r="292" spans="1:5">
      <c r="A292" s="551" t="s">
        <v>726</v>
      </c>
      <c r="B292" s="405">
        <f>-1500000+10000000+15000000+10000000</f>
        <v>33500000</v>
      </c>
      <c r="C292" s="390">
        <f t="shared" si="33"/>
        <v>35175000</v>
      </c>
      <c r="D292" s="390">
        <f t="shared" si="33"/>
        <v>36933750</v>
      </c>
      <c r="E292" s="111">
        <v>15000000</v>
      </c>
    </row>
    <row r="293" spans="1:5">
      <c r="A293" s="551" t="s">
        <v>717</v>
      </c>
      <c r="B293" s="482">
        <f>-20000000+50000000-10000000</f>
        <v>20000000</v>
      </c>
      <c r="C293" s="392">
        <v>5031308</v>
      </c>
      <c r="D293" s="406">
        <v>5031309</v>
      </c>
      <c r="E293" s="111">
        <v>50000000</v>
      </c>
    </row>
    <row r="294" spans="1:5">
      <c r="A294" s="542" t="s">
        <v>54</v>
      </c>
      <c r="B294" s="392">
        <v>200000</v>
      </c>
      <c r="C294" s="390">
        <f t="shared" ref="C294:D312" si="34">1.05*B294</f>
        <v>210000</v>
      </c>
      <c r="D294" s="390">
        <f t="shared" si="34"/>
        <v>220500</v>
      </c>
    </row>
    <row r="295" spans="1:5">
      <c r="A295" s="538" t="s">
        <v>927</v>
      </c>
      <c r="B295" s="394">
        <v>1200000</v>
      </c>
      <c r="C295" s="390">
        <f t="shared" si="34"/>
        <v>1260000</v>
      </c>
      <c r="D295" s="390">
        <f t="shared" si="34"/>
        <v>1323000</v>
      </c>
    </row>
    <row r="296" spans="1:5">
      <c r="A296" s="542" t="s">
        <v>805</v>
      </c>
      <c r="B296" s="392">
        <v>0</v>
      </c>
      <c r="C296" s="390">
        <f t="shared" si="34"/>
        <v>0</v>
      </c>
      <c r="D296" s="390">
        <f t="shared" si="34"/>
        <v>0</v>
      </c>
    </row>
    <row r="297" spans="1:5">
      <c r="A297" s="551" t="s">
        <v>660</v>
      </c>
      <c r="B297" s="405">
        <v>3000000</v>
      </c>
      <c r="C297" s="390">
        <f t="shared" si="34"/>
        <v>3150000</v>
      </c>
      <c r="D297" s="390">
        <f t="shared" si="34"/>
        <v>3307500</v>
      </c>
    </row>
    <row r="298" spans="1:5">
      <c r="A298" s="551" t="s">
        <v>806</v>
      </c>
      <c r="B298" s="405">
        <v>0</v>
      </c>
      <c r="C298" s="390">
        <f t="shared" si="34"/>
        <v>0</v>
      </c>
      <c r="D298" s="390">
        <f t="shared" si="34"/>
        <v>0</v>
      </c>
    </row>
    <row r="299" spans="1:5">
      <c r="A299" s="539" t="s">
        <v>64</v>
      </c>
      <c r="B299" s="388">
        <f>B300</f>
        <v>250000</v>
      </c>
      <c r="C299" s="384">
        <f t="shared" si="34"/>
        <v>262500</v>
      </c>
      <c r="D299" s="384">
        <f t="shared" si="34"/>
        <v>275625</v>
      </c>
    </row>
    <row r="300" spans="1:5">
      <c r="A300" s="550" t="s">
        <v>65</v>
      </c>
      <c r="B300" s="404">
        <v>250000</v>
      </c>
      <c r="C300" s="390">
        <f t="shared" si="34"/>
        <v>262500</v>
      </c>
      <c r="D300" s="390">
        <f t="shared" si="34"/>
        <v>275625</v>
      </c>
    </row>
    <row r="301" spans="1:5">
      <c r="A301" s="539" t="s">
        <v>112</v>
      </c>
      <c r="B301" s="388">
        <f>B302+B303+B304+B305+B306</f>
        <v>200000</v>
      </c>
      <c r="C301" s="384">
        <f t="shared" si="34"/>
        <v>210000</v>
      </c>
      <c r="D301" s="384">
        <f t="shared" si="34"/>
        <v>220500</v>
      </c>
    </row>
    <row r="302" spans="1:5">
      <c r="A302" s="542" t="s">
        <v>113</v>
      </c>
      <c r="B302" s="392"/>
      <c r="C302" s="384">
        <f t="shared" si="34"/>
        <v>0</v>
      </c>
      <c r="D302" s="384">
        <f t="shared" si="34"/>
        <v>0</v>
      </c>
    </row>
    <row r="303" spans="1:5">
      <c r="A303" s="538" t="s">
        <v>66</v>
      </c>
      <c r="B303" s="394"/>
      <c r="C303" s="384">
        <f t="shared" si="34"/>
        <v>0</v>
      </c>
      <c r="D303" s="384">
        <f t="shared" si="34"/>
        <v>0</v>
      </c>
    </row>
    <row r="304" spans="1:5">
      <c r="A304" s="542" t="s">
        <v>928</v>
      </c>
      <c r="B304" s="392"/>
      <c r="C304" s="384">
        <f t="shared" si="34"/>
        <v>0</v>
      </c>
      <c r="D304" s="384">
        <f t="shared" si="34"/>
        <v>0</v>
      </c>
    </row>
    <row r="305" spans="1:4">
      <c r="A305" s="552" t="s">
        <v>919</v>
      </c>
      <c r="B305" s="407"/>
      <c r="C305" s="384">
        <f t="shared" si="34"/>
        <v>0</v>
      </c>
      <c r="D305" s="384">
        <f t="shared" si="34"/>
        <v>0</v>
      </c>
    </row>
    <row r="306" spans="1:4">
      <c r="A306" s="538" t="s">
        <v>929</v>
      </c>
      <c r="B306" s="394">
        <v>200000</v>
      </c>
      <c r="C306" s="384">
        <f t="shared" si="34"/>
        <v>210000</v>
      </c>
      <c r="D306" s="384">
        <f t="shared" si="34"/>
        <v>220500</v>
      </c>
    </row>
    <row r="307" spans="1:4">
      <c r="A307" s="539" t="s">
        <v>115</v>
      </c>
      <c r="B307" s="388">
        <f>B308+B309+B310+B311</f>
        <v>682408</v>
      </c>
      <c r="C307" s="384">
        <f t="shared" si="34"/>
        <v>716528.4</v>
      </c>
      <c r="D307" s="384">
        <f t="shared" si="34"/>
        <v>752354.82000000007</v>
      </c>
    </row>
    <row r="308" spans="1:4">
      <c r="A308" s="538" t="s">
        <v>69</v>
      </c>
      <c r="B308" s="394">
        <v>400000</v>
      </c>
      <c r="C308" s="390">
        <f t="shared" si="34"/>
        <v>420000</v>
      </c>
      <c r="D308" s="390">
        <f t="shared" si="34"/>
        <v>441000</v>
      </c>
    </row>
    <row r="309" spans="1:4">
      <c r="A309" s="541" t="s">
        <v>70</v>
      </c>
      <c r="B309" s="391">
        <v>282408</v>
      </c>
      <c r="C309" s="390">
        <f t="shared" si="34"/>
        <v>296528.40000000002</v>
      </c>
      <c r="D309" s="390">
        <f t="shared" si="34"/>
        <v>311354.82000000007</v>
      </c>
    </row>
    <row r="310" spans="1:4">
      <c r="A310" s="542" t="s">
        <v>811</v>
      </c>
      <c r="B310" s="392">
        <v>0</v>
      </c>
      <c r="C310" s="384">
        <f t="shared" si="34"/>
        <v>0</v>
      </c>
      <c r="D310" s="384">
        <f t="shared" si="34"/>
        <v>0</v>
      </c>
    </row>
    <row r="311" spans="1:4">
      <c r="A311" s="538" t="s">
        <v>731</v>
      </c>
      <c r="B311" s="394">
        <v>0</v>
      </c>
      <c r="C311" s="384">
        <f t="shared" si="34"/>
        <v>0</v>
      </c>
      <c r="D311" s="384">
        <f t="shared" si="34"/>
        <v>0</v>
      </c>
    </row>
    <row r="312" spans="1:4">
      <c r="A312" s="543" t="s">
        <v>567</v>
      </c>
      <c r="B312" s="393">
        <f>B307+B301+B299+B288+B286+B283+B281+B278+B272+B269+B264+B258+B254+B251+B248</f>
        <v>69601635.694664195</v>
      </c>
      <c r="C312" s="384">
        <f t="shared" si="34"/>
        <v>73081717.479397401</v>
      </c>
      <c r="D312" s="384">
        <f t="shared" si="34"/>
        <v>76735803.353367269</v>
      </c>
    </row>
  </sheetData>
  <protectedRanges>
    <protectedRange password="C43E" sqref="B13" name="Range1_19_1_1_1_1_1_2_1"/>
    <protectedRange password="C43E" sqref="B21:B24" name="Range1_22_1_1_1_1_1_2_1"/>
    <protectedRange password="C43E" sqref="B66" name="Range1_32_1_1_1_1_1_2_1"/>
    <protectedRange password="C43E" sqref="B69" name="Range1_33_1_1_1_1_1_2_1"/>
    <protectedRange password="C43E" sqref="B71" name="Range1_34_1_1_1_1_1_2_1"/>
    <protectedRange sqref="B154" name="Range1_1_1_1_1_1_2_1_1"/>
    <protectedRange sqref="B162:B165" name="Range1_4_1_1_1_1_2_1_1"/>
    <protectedRange sqref="B168" name="Range1_5_1_1_1_1_2_1_1"/>
    <protectedRange sqref="B173" name="Range1_6_1_1_1_1_2_1_1"/>
    <protectedRange sqref="B207" name="Range1_13_1_1_1_1_2_1_1"/>
    <protectedRange sqref="B216 B230" name="Range1_15_1_1_1_1_2_1_1"/>
    <protectedRange sqref="B254" name="Range1_4_1_1_1_1_2_1_2_1_1"/>
    <protectedRange sqref="B259:B261" name="Range1_5_1_1_1_1_2_1_2_1_1"/>
    <protectedRange sqref="B264" name="Range1_6_1_1_1_1_2_1_2_1_1"/>
    <protectedRange sqref="B268" name="Range1_7_1_1_1_1_2_1_2_1_1"/>
    <protectedRange sqref="B275" name="Range1_8_1_1_1_1_2_1_2_1_1"/>
    <protectedRange sqref="B282" name="Range1_9_1_1_1_1_2_1_2_1_1"/>
    <protectedRange sqref="B296:B297" name="Range1_13_1_1_1_1_2_1_2_1_1"/>
    <protectedRange sqref="B300" name="Range1_14_1_1_1_1_2_1_2_1_1"/>
    <protectedRange sqref="B306" name="Range1_15_1_1_1_1_2_1_2_1_1"/>
  </protectedRanges>
  <mergeCells count="1">
    <mergeCell ref="A1:D1"/>
  </mergeCells>
  <conditionalFormatting sqref="A304:B30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opLeftCell="A9" zoomScale="82" workbookViewId="0">
      <selection activeCell="J4" sqref="J4"/>
    </sheetView>
  </sheetViews>
  <sheetFormatPr defaultColWidth="9.08984375" defaultRowHeight="18.5"/>
  <cols>
    <col min="1" max="1" width="6.90625" style="441" customWidth="1"/>
    <col min="2" max="2" width="43.81640625" style="441" customWidth="1"/>
    <col min="3" max="3" width="18.36328125" style="441" customWidth="1"/>
    <col min="4" max="4" width="17.81640625" style="441" customWidth="1"/>
    <col min="5" max="5" width="19.54296875" style="441" customWidth="1"/>
    <col min="6" max="6" width="30.453125" style="441" customWidth="1"/>
    <col min="7" max="7" width="19.1796875" style="441" customWidth="1"/>
    <col min="8" max="8" width="0.1796875" style="697" customWidth="1"/>
    <col min="9" max="9" width="19.81640625" style="697" hidden="1" customWidth="1"/>
    <col min="10" max="10" width="13.6328125" style="441" customWidth="1"/>
    <col min="11" max="16384" width="9.08984375" style="441"/>
  </cols>
  <sheetData>
    <row r="2" spans="1:9" ht="54">
      <c r="A2" s="483" t="s">
        <v>1034</v>
      </c>
      <c r="B2" s="484" t="s">
        <v>1035</v>
      </c>
      <c r="C2" s="485" t="s">
        <v>1036</v>
      </c>
      <c r="D2" s="485" t="s">
        <v>866</v>
      </c>
      <c r="E2" s="485" t="s">
        <v>1037</v>
      </c>
      <c r="F2" s="485" t="s">
        <v>1038</v>
      </c>
      <c r="G2" s="617" t="s">
        <v>1203</v>
      </c>
      <c r="H2" s="699"/>
      <c r="I2" s="699" t="s">
        <v>1040</v>
      </c>
    </row>
    <row r="3" spans="1:9">
      <c r="A3" s="710" t="s">
        <v>1041</v>
      </c>
      <c r="B3" s="710"/>
      <c r="C3" s="710"/>
      <c r="D3" s="710"/>
      <c r="E3" s="710"/>
      <c r="F3" s="710"/>
      <c r="G3" s="454"/>
      <c r="H3" s="699"/>
      <c r="I3" s="699"/>
    </row>
    <row r="4" spans="1:9" ht="105">
      <c r="A4" s="486">
        <v>1</v>
      </c>
      <c r="B4" s="487" t="s">
        <v>1042</v>
      </c>
      <c r="C4" s="488">
        <v>6174958678</v>
      </c>
      <c r="D4" s="488">
        <v>6174958678</v>
      </c>
      <c r="E4" s="488">
        <f>C4-D4</f>
        <v>0</v>
      </c>
      <c r="F4" s="489" t="s">
        <v>1043</v>
      </c>
      <c r="G4" s="454"/>
      <c r="H4" s="700">
        <f>D4+G4</f>
        <v>6174958678</v>
      </c>
      <c r="I4" s="699"/>
    </row>
    <row r="5" spans="1:9" ht="52.5">
      <c r="A5" s="486">
        <v>2</v>
      </c>
      <c r="B5" s="487" t="s">
        <v>1044</v>
      </c>
      <c r="C5" s="488">
        <v>29639585</v>
      </c>
      <c r="D5" s="488">
        <v>29639585</v>
      </c>
      <c r="E5" s="488">
        <f t="shared" ref="E5:E10" si="0">C5-D5</f>
        <v>0</v>
      </c>
      <c r="F5" s="489" t="s">
        <v>1045</v>
      </c>
      <c r="G5" s="454"/>
      <c r="H5" s="700">
        <f t="shared" ref="H5:H19" si="1">D5+G5</f>
        <v>29639585</v>
      </c>
      <c r="I5" s="699"/>
    </row>
    <row r="6" spans="1:9" ht="87.5">
      <c r="A6" s="486">
        <v>3</v>
      </c>
      <c r="B6" s="487" t="s">
        <v>1046</v>
      </c>
      <c r="C6" s="488">
        <v>266868010</v>
      </c>
      <c r="D6" s="488">
        <v>118683914</v>
      </c>
      <c r="E6" s="488">
        <f t="shared" si="0"/>
        <v>148184096</v>
      </c>
      <c r="F6" s="489" t="s">
        <v>1047</v>
      </c>
      <c r="G6" s="490">
        <f>E6</f>
        <v>148184096</v>
      </c>
      <c r="H6" s="700">
        <f t="shared" si="1"/>
        <v>266868010</v>
      </c>
      <c r="I6" s="699"/>
    </row>
    <row r="7" spans="1:9" ht="52.5">
      <c r="A7" s="486">
        <v>4</v>
      </c>
      <c r="B7" s="487" t="s">
        <v>1048</v>
      </c>
      <c r="C7" s="488">
        <v>102420640</v>
      </c>
      <c r="D7" s="488">
        <v>102420640</v>
      </c>
      <c r="E7" s="488">
        <f t="shared" si="0"/>
        <v>0</v>
      </c>
      <c r="F7" s="489" t="s">
        <v>1049</v>
      </c>
      <c r="G7" s="695"/>
      <c r="H7" s="700">
        <f t="shared" si="1"/>
        <v>102420640</v>
      </c>
      <c r="I7" s="699"/>
    </row>
    <row r="8" spans="1:9" ht="87.5">
      <c r="A8" s="486">
        <v>5</v>
      </c>
      <c r="B8" s="487" t="s">
        <v>1050</v>
      </c>
      <c r="C8" s="488">
        <v>191576545</v>
      </c>
      <c r="D8" s="491">
        <v>0</v>
      </c>
      <c r="E8" s="488">
        <f t="shared" si="0"/>
        <v>191576545</v>
      </c>
      <c r="F8" s="489" t="s">
        <v>1051</v>
      </c>
      <c r="G8" s="696">
        <f>E8/2+'P Admin'!F145</f>
        <v>69677160.578334808</v>
      </c>
      <c r="H8" s="700">
        <f t="shared" si="1"/>
        <v>69677160.578334808</v>
      </c>
      <c r="I8" s="700">
        <f>E8-H8</f>
        <v>121899384.42166519</v>
      </c>
    </row>
    <row r="9" spans="1:9" ht="35">
      <c r="A9" s="486">
        <v>6</v>
      </c>
      <c r="B9" s="487" t="s">
        <v>1052</v>
      </c>
      <c r="C9" s="488">
        <v>244653600</v>
      </c>
      <c r="D9" s="491">
        <v>0</v>
      </c>
      <c r="E9" s="488">
        <f t="shared" si="0"/>
        <v>244653600</v>
      </c>
      <c r="F9" s="489" t="s">
        <v>1053</v>
      </c>
      <c r="G9" s="696">
        <f>E9/2-20686919</f>
        <v>101639881</v>
      </c>
      <c r="H9" s="700">
        <f t="shared" si="1"/>
        <v>101639881</v>
      </c>
      <c r="I9" s="700">
        <f>E9-H9</f>
        <v>143013719</v>
      </c>
    </row>
    <row r="10" spans="1:9" ht="70">
      <c r="A10" s="486">
        <v>8</v>
      </c>
      <c r="B10" s="487" t="s">
        <v>1054</v>
      </c>
      <c r="C10" s="492">
        <v>107400000</v>
      </c>
      <c r="D10" s="492">
        <v>107400000</v>
      </c>
      <c r="E10" s="488">
        <f t="shared" si="0"/>
        <v>0</v>
      </c>
      <c r="F10" s="489" t="s">
        <v>1055</v>
      </c>
      <c r="G10" s="695"/>
      <c r="H10" s="700">
        <f t="shared" si="1"/>
        <v>107400000</v>
      </c>
      <c r="I10" s="699"/>
    </row>
    <row r="11" spans="1:9">
      <c r="A11" s="483"/>
      <c r="B11" s="493" t="s">
        <v>1056</v>
      </c>
      <c r="C11" s="494">
        <f>SUM(C4:C10)</f>
        <v>7117517058</v>
      </c>
      <c r="D11" s="494">
        <f>SUM(D4:D10)</f>
        <v>6533102817</v>
      </c>
      <c r="E11" s="494">
        <f>SUM(E4:E10)</f>
        <v>584414241</v>
      </c>
      <c r="F11" s="484"/>
      <c r="G11" s="495">
        <f>SUM(G4:G10)</f>
        <v>319501137.57833481</v>
      </c>
      <c r="H11" s="701">
        <f t="shared" ref="H11:I11" si="2">SUM(H4:H10)</f>
        <v>6852603954.5783348</v>
      </c>
      <c r="I11" s="701">
        <f t="shared" si="2"/>
        <v>264913103.42166519</v>
      </c>
    </row>
    <row r="12" spans="1:9">
      <c r="A12" s="711" t="s">
        <v>1057</v>
      </c>
      <c r="B12" s="711"/>
      <c r="C12" s="711"/>
      <c r="D12" s="711"/>
      <c r="E12" s="711"/>
      <c r="F12" s="711"/>
      <c r="G12" s="454"/>
      <c r="H12" s="700">
        <f t="shared" si="1"/>
        <v>0</v>
      </c>
      <c r="I12" s="699"/>
    </row>
    <row r="13" spans="1:9" ht="87.5">
      <c r="A13" s="486">
        <v>1</v>
      </c>
      <c r="B13" s="487" t="s">
        <v>1058</v>
      </c>
      <c r="C13" s="488">
        <v>144949428</v>
      </c>
      <c r="D13" s="487">
        <v>0</v>
      </c>
      <c r="E13" s="488">
        <v>144949428</v>
      </c>
      <c r="F13" s="489" t="s">
        <v>1059</v>
      </c>
      <c r="G13" s="490">
        <v>100000000</v>
      </c>
      <c r="H13" s="700">
        <f t="shared" si="1"/>
        <v>100000000</v>
      </c>
      <c r="I13" s="700">
        <f>E13-H13</f>
        <v>44949428</v>
      </c>
    </row>
    <row r="14" spans="1:9" ht="52.5">
      <c r="A14" s="486">
        <v>2</v>
      </c>
      <c r="B14" s="487" t="s">
        <v>1060</v>
      </c>
      <c r="C14" s="492">
        <v>35800000</v>
      </c>
      <c r="D14" s="492">
        <v>35800000</v>
      </c>
      <c r="E14" s="487">
        <v>0</v>
      </c>
      <c r="F14" s="489" t="s">
        <v>1061</v>
      </c>
      <c r="G14" s="490">
        <f t="shared" ref="G14" si="3">E14</f>
        <v>0</v>
      </c>
      <c r="H14" s="700">
        <f t="shared" si="1"/>
        <v>35800000</v>
      </c>
      <c r="I14" s="700"/>
    </row>
    <row r="15" spans="1:9" ht="87.5">
      <c r="A15" s="486">
        <v>3</v>
      </c>
      <c r="B15" s="487" t="s">
        <v>1062</v>
      </c>
      <c r="C15" s="488">
        <v>160299340</v>
      </c>
      <c r="D15" s="487">
        <v>0</v>
      </c>
      <c r="E15" s="488">
        <v>160299340</v>
      </c>
      <c r="F15" s="489" t="s">
        <v>1063</v>
      </c>
      <c r="G15" s="490">
        <v>100000000</v>
      </c>
      <c r="H15" s="700">
        <f t="shared" si="1"/>
        <v>100000000</v>
      </c>
      <c r="I15" s="700">
        <f t="shared" ref="I15" si="4">E15-H15</f>
        <v>60299340</v>
      </c>
    </row>
    <row r="16" spans="1:9" ht="35">
      <c r="A16" s="486">
        <v>4</v>
      </c>
      <c r="B16" s="487" t="s">
        <v>1064</v>
      </c>
      <c r="C16" s="496">
        <v>73340681</v>
      </c>
      <c r="D16" s="488">
        <v>30200000</v>
      </c>
      <c r="E16" s="488">
        <v>43140681</v>
      </c>
      <c r="F16" s="489" t="s">
        <v>1065</v>
      </c>
      <c r="G16" s="490"/>
      <c r="H16" s="700">
        <f t="shared" si="1"/>
        <v>30200000</v>
      </c>
      <c r="I16" s="700"/>
    </row>
    <row r="17" spans="1:9" ht="87.5">
      <c r="A17" s="486">
        <v>5</v>
      </c>
      <c r="B17" s="487" t="s">
        <v>1066</v>
      </c>
      <c r="C17" s="496">
        <v>533025177.64999998</v>
      </c>
      <c r="D17" s="488">
        <v>100000000</v>
      </c>
      <c r="E17" s="488">
        <v>433025178</v>
      </c>
      <c r="F17" s="489" t="s">
        <v>1067</v>
      </c>
      <c r="G17" s="490">
        <v>0</v>
      </c>
      <c r="H17" s="700">
        <f t="shared" si="1"/>
        <v>100000000</v>
      </c>
      <c r="I17" s="700">
        <f>E17-G17</f>
        <v>433025178</v>
      </c>
    </row>
    <row r="18" spans="1:9" ht="70">
      <c r="A18" s="486">
        <v>6</v>
      </c>
      <c r="B18" s="487" t="s">
        <v>1068</v>
      </c>
      <c r="C18" s="488">
        <v>344472000</v>
      </c>
      <c r="D18" s="454"/>
      <c r="E18" s="488">
        <v>344472000</v>
      </c>
      <c r="F18" s="489" t="s">
        <v>1069</v>
      </c>
      <c r="G18" s="497">
        <v>50000000</v>
      </c>
      <c r="H18" s="700">
        <f t="shared" si="1"/>
        <v>50000000</v>
      </c>
      <c r="I18" s="700">
        <f>E18-G18</f>
        <v>294472000</v>
      </c>
    </row>
    <row r="19" spans="1:9" ht="52.5">
      <c r="A19" s="486">
        <v>7</v>
      </c>
      <c r="B19" s="487" t="s">
        <v>1070</v>
      </c>
      <c r="C19" s="488">
        <v>12729703</v>
      </c>
      <c r="D19" s="488">
        <v>12729703</v>
      </c>
      <c r="E19" s="487" t="s">
        <v>1071</v>
      </c>
      <c r="F19" s="489" t="s">
        <v>1072</v>
      </c>
      <c r="G19" s="454"/>
      <c r="H19" s="700">
        <f t="shared" si="1"/>
        <v>12729703</v>
      </c>
      <c r="I19" s="699"/>
    </row>
    <row r="20" spans="1:9" ht="36">
      <c r="A20" s="483"/>
      <c r="B20" s="493" t="s">
        <v>1073</v>
      </c>
      <c r="C20" s="455">
        <f>SUM(C13:C19)</f>
        <v>1304616329.6500001</v>
      </c>
      <c r="D20" s="455">
        <f t="shared" ref="D20:I20" si="5">SUM(D13:D19)</f>
        <v>178729703</v>
      </c>
      <c r="E20" s="455">
        <f t="shared" si="5"/>
        <v>1125886627</v>
      </c>
      <c r="F20" s="455">
        <f t="shared" si="5"/>
        <v>0</v>
      </c>
      <c r="G20" s="455">
        <f t="shared" si="5"/>
        <v>250000000</v>
      </c>
      <c r="H20" s="702">
        <f t="shared" si="5"/>
        <v>428729703</v>
      </c>
      <c r="I20" s="702">
        <f t="shared" si="5"/>
        <v>832745946</v>
      </c>
    </row>
    <row r="21" spans="1:9" ht="36">
      <c r="A21" s="483"/>
      <c r="B21" s="493" t="s">
        <v>1074</v>
      </c>
      <c r="C21" s="455">
        <f>C20+C11</f>
        <v>8422133387.6499996</v>
      </c>
      <c r="D21" s="455">
        <f t="shared" ref="D21:I21" si="6">D20+D11</f>
        <v>6711832520</v>
      </c>
      <c r="E21" s="455">
        <f t="shared" si="6"/>
        <v>1710300868</v>
      </c>
      <c r="F21" s="455">
        <f t="shared" si="6"/>
        <v>0</v>
      </c>
      <c r="G21" s="455">
        <f t="shared" si="6"/>
        <v>569501137.57833481</v>
      </c>
      <c r="H21" s="702">
        <f t="shared" si="6"/>
        <v>7281333657.5783348</v>
      </c>
      <c r="I21" s="702">
        <f t="shared" si="6"/>
        <v>1097659049.4216652</v>
      </c>
    </row>
    <row r="22" spans="1:9" s="641" customFormat="1">
      <c r="H22" s="697"/>
      <c r="I22" s="642">
        <v>646000000</v>
      </c>
    </row>
    <row r="23" spans="1:9" s="641" customFormat="1">
      <c r="G23" s="641">
        <v>569501138</v>
      </c>
      <c r="H23" s="697"/>
      <c r="I23" s="698">
        <f>I21-I22</f>
        <v>451659049.42166519</v>
      </c>
    </row>
    <row r="24" spans="1:9" s="641" customFormat="1">
      <c r="B24" s="641" t="s">
        <v>1075</v>
      </c>
      <c r="G24" s="643">
        <f>G21-G23</f>
        <v>-0.42166519165039063</v>
      </c>
      <c r="H24" s="697" t="s">
        <v>1076</v>
      </c>
      <c r="I24" s="697">
        <v>58000000</v>
      </c>
    </row>
    <row r="25" spans="1:9" s="641" customFormat="1">
      <c r="A25" s="641">
        <v>1</v>
      </c>
      <c r="B25" s="641" t="s">
        <v>1077</v>
      </c>
      <c r="H25" s="697"/>
      <c r="I25" s="697"/>
    </row>
    <row r="26" spans="1:9" s="641" customFormat="1">
      <c r="A26" s="641">
        <v>2</v>
      </c>
      <c r="B26" s="641" t="s">
        <v>1078</v>
      </c>
      <c r="F26" s="641" t="s">
        <v>865</v>
      </c>
      <c r="H26" s="697"/>
      <c r="I26" s="697"/>
    </row>
    <row r="27" spans="1:9" s="641" customFormat="1">
      <c r="A27" s="641">
        <v>3</v>
      </c>
      <c r="B27" s="641" t="s">
        <v>1079</v>
      </c>
      <c r="H27" s="697"/>
      <c r="I27" s="697"/>
    </row>
    <row r="28" spans="1:9" s="641" customFormat="1">
      <c r="A28" s="641">
        <v>4</v>
      </c>
      <c r="B28" s="641" t="s">
        <v>1080</v>
      </c>
      <c r="H28" s="697"/>
      <c r="I28" s="697"/>
    </row>
    <row r="29" spans="1:9" s="641" customFormat="1">
      <c r="A29" s="641">
        <v>5</v>
      </c>
      <c r="B29" s="641" t="s">
        <v>1081</v>
      </c>
      <c r="H29" s="697"/>
      <c r="I29" s="697"/>
    </row>
    <row r="30" spans="1:9" s="641" customFormat="1">
      <c r="A30" s="641">
        <v>6</v>
      </c>
      <c r="B30" s="641" t="s">
        <v>1082</v>
      </c>
      <c r="H30" s="697"/>
      <c r="I30" s="697"/>
    </row>
    <row r="31" spans="1:9" s="641" customFormat="1">
      <c r="H31" s="697"/>
      <c r="I31" s="697"/>
    </row>
    <row r="32" spans="1:9" s="641" customFormat="1">
      <c r="B32" s="641" t="s">
        <v>1101</v>
      </c>
      <c r="H32" s="697"/>
      <c r="I32" s="697"/>
    </row>
    <row r="33" spans="2:9" s="641" customFormat="1">
      <c r="B33" s="641" t="s">
        <v>1102</v>
      </c>
      <c r="H33" s="697"/>
      <c r="I33" s="697"/>
    </row>
    <row r="34" spans="2:9" s="641" customFormat="1">
      <c r="H34" s="697"/>
      <c r="I34" s="697"/>
    </row>
    <row r="35" spans="2:9" s="641" customFormat="1">
      <c r="B35" s="641" t="s">
        <v>1103</v>
      </c>
      <c r="H35" s="697"/>
      <c r="I35" s="697"/>
    </row>
    <row r="36" spans="2:9" s="641" customFormat="1">
      <c r="B36" s="641" t="s">
        <v>1104</v>
      </c>
      <c r="H36" s="697"/>
      <c r="I36" s="697"/>
    </row>
    <row r="37" spans="2:9" s="641" customFormat="1">
      <c r="H37" s="697"/>
      <c r="I37" s="697"/>
    </row>
  </sheetData>
  <mergeCells count="2">
    <mergeCell ref="A3:F3"/>
    <mergeCell ref="A12:F1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122"/>
  <sheetViews>
    <sheetView topLeftCell="A85" workbookViewId="0">
      <selection activeCell="B99" sqref="B99"/>
    </sheetView>
  </sheetViews>
  <sheetFormatPr defaultColWidth="8.81640625" defaultRowHeight="15.5"/>
  <cols>
    <col min="1" max="1" width="53.54296875" style="503" customWidth="1"/>
    <col min="2" max="2" width="18.81640625" style="503" bestFit="1" customWidth="1"/>
    <col min="3" max="3" width="18.08984375" style="503" bestFit="1" customWidth="1"/>
    <col min="4" max="4" width="18.81640625" style="503" bestFit="1" customWidth="1"/>
    <col min="5" max="16384" width="8.81640625" style="503"/>
  </cols>
  <sheetData>
    <row r="2" spans="1:4">
      <c r="A2" s="502" t="s">
        <v>1106</v>
      </c>
    </row>
    <row r="3" spans="1:4">
      <c r="A3" s="503" t="s">
        <v>1107</v>
      </c>
    </row>
    <row r="4" spans="1:4">
      <c r="A4" s="504" t="s">
        <v>1108</v>
      </c>
      <c r="B4" s="504" t="s">
        <v>1109</v>
      </c>
      <c r="C4" s="504" t="s">
        <v>1110</v>
      </c>
      <c r="D4" s="504" t="s">
        <v>1111</v>
      </c>
    </row>
    <row r="5" spans="1:4">
      <c r="A5" s="504"/>
      <c r="B5" s="505" t="s">
        <v>230</v>
      </c>
      <c r="C5" s="505" t="s">
        <v>187</v>
      </c>
      <c r="D5" s="505" t="s">
        <v>188</v>
      </c>
    </row>
    <row r="6" spans="1:4" s="502" customFormat="1">
      <c r="A6" s="506" t="s">
        <v>1112</v>
      </c>
      <c r="B6" s="507">
        <f>SUM(B7:B27)</f>
        <v>527013567</v>
      </c>
      <c r="C6" s="507">
        <f t="shared" ref="C6:D6" si="0">SUM(C7:C27)</f>
        <v>553364245.35000002</v>
      </c>
      <c r="D6" s="507">
        <f t="shared" si="0"/>
        <v>581032457.61750007</v>
      </c>
    </row>
    <row r="7" spans="1:4" s="508" customFormat="1">
      <c r="A7" s="504" t="s">
        <v>1113</v>
      </c>
      <c r="B7" s="505">
        <v>200636316</v>
      </c>
      <c r="C7" s="505">
        <f>+Query113[[#This Row],[Estimates]]*1.05</f>
        <v>210668131.80000001</v>
      </c>
      <c r="D7" s="505">
        <f>+Query113[[#This Row],[Projected]]*1.05</f>
        <v>221201538.39000002</v>
      </c>
    </row>
    <row r="8" spans="1:4">
      <c r="A8" s="504" t="s">
        <v>933</v>
      </c>
      <c r="B8" s="505">
        <v>35283480</v>
      </c>
      <c r="C8" s="505">
        <f>+Query113[[#This Row],[Estimates]]*1.05</f>
        <v>37047654</v>
      </c>
      <c r="D8" s="505">
        <f>+Query113[[#This Row],[Projected]]*1.05</f>
        <v>38900036.700000003</v>
      </c>
    </row>
    <row r="9" spans="1:4">
      <c r="A9" s="504" t="s">
        <v>934</v>
      </c>
      <c r="B9" s="505">
        <v>2208000</v>
      </c>
      <c r="C9" s="505">
        <f>+Query113[[#This Row],[Estimates]]*1.05</f>
        <v>2318400</v>
      </c>
      <c r="D9" s="505">
        <f>+Query113[[#This Row],[Projected]]*1.05</f>
        <v>2434320</v>
      </c>
    </row>
    <row r="10" spans="1:4" s="508" customFormat="1">
      <c r="A10" s="504" t="s">
        <v>1114</v>
      </c>
      <c r="B10" s="505">
        <v>7260000</v>
      </c>
      <c r="C10" s="505">
        <f>+Query113[[#This Row],[Estimates]]*1.05</f>
        <v>7623000</v>
      </c>
      <c r="D10" s="505">
        <f>+Query113[[#This Row],[Projected]]*1.05</f>
        <v>8004150</v>
      </c>
    </row>
    <row r="11" spans="1:4">
      <c r="A11" s="504" t="s">
        <v>505</v>
      </c>
      <c r="B11" s="505">
        <v>67959960</v>
      </c>
      <c r="C11" s="505">
        <f>+Query113[[#This Row],[Estimates]]*1.05</f>
        <v>71357958</v>
      </c>
      <c r="D11" s="505">
        <f>+Query113[[#This Row],[Projected]]*1.05</f>
        <v>74925855.900000006</v>
      </c>
    </row>
    <row r="12" spans="1:4">
      <c r="A12" s="504" t="s">
        <v>1115</v>
      </c>
      <c r="B12" s="505">
        <v>1000000</v>
      </c>
      <c r="C12" s="505">
        <f>+Query113[[#This Row],[Estimates]]*1.05</f>
        <v>1050000</v>
      </c>
      <c r="D12" s="505">
        <f>+Query113[[#This Row],[Projected]]*1.05</f>
        <v>1102500</v>
      </c>
    </row>
    <row r="13" spans="1:4">
      <c r="A13" s="504" t="s">
        <v>1116</v>
      </c>
      <c r="B13" s="505">
        <v>466200</v>
      </c>
      <c r="C13" s="505">
        <f>+Query113[[#This Row],[Estimates]]*1.05</f>
        <v>489510</v>
      </c>
      <c r="D13" s="505">
        <f>+Query113[[#This Row],[Projected]]*1.05</f>
        <v>513985.5</v>
      </c>
    </row>
    <row r="14" spans="1:4">
      <c r="A14" s="504" t="s">
        <v>509</v>
      </c>
      <c r="B14" s="505">
        <v>12648000</v>
      </c>
      <c r="C14" s="505">
        <f>+Query113[[#This Row],[Estimates]]*1.05</f>
        <v>13280400</v>
      </c>
      <c r="D14" s="505">
        <f>+Query113[[#This Row],[Projected]]*1.05</f>
        <v>13944420</v>
      </c>
    </row>
    <row r="15" spans="1:4">
      <c r="A15" s="504" t="s">
        <v>510</v>
      </c>
      <c r="B15" s="505">
        <v>48711047</v>
      </c>
      <c r="C15" s="505">
        <f>+Query113[[#This Row],[Estimates]]*1.05</f>
        <v>51146599.350000001</v>
      </c>
      <c r="D15" s="505">
        <f>+Query113[[#This Row],[Projected]]*1.05</f>
        <v>53703929.317500003</v>
      </c>
    </row>
    <row r="16" spans="1:4">
      <c r="A16" s="504" t="s">
        <v>514</v>
      </c>
      <c r="B16" s="505">
        <v>1374000</v>
      </c>
      <c r="C16" s="505">
        <f>+Query113[[#This Row],[Estimates]]*1.05</f>
        <v>1442700</v>
      </c>
      <c r="D16" s="505">
        <f>+Query113[[#This Row],[Projected]]*1.05</f>
        <v>1514835</v>
      </c>
    </row>
    <row r="17" spans="1:4">
      <c r="A17" s="504" t="s">
        <v>1117</v>
      </c>
      <c r="B17" s="505">
        <v>22444248</v>
      </c>
      <c r="C17" s="505">
        <f>+Query113[[#This Row],[Estimates]]*1.05</f>
        <v>23566460.400000002</v>
      </c>
      <c r="D17" s="505">
        <f>+Query113[[#This Row],[Projected]]*1.05</f>
        <v>24744783.420000002</v>
      </c>
    </row>
    <row r="18" spans="1:4">
      <c r="A18" s="504" t="s">
        <v>1118</v>
      </c>
      <c r="B18" s="505">
        <v>4416000</v>
      </c>
      <c r="C18" s="505">
        <f>+Query113[[#This Row],[Estimates]]*1.05</f>
        <v>4636800</v>
      </c>
      <c r="D18" s="505">
        <f>+Query113[[#This Row],[Projected]]*1.05</f>
        <v>4868640</v>
      </c>
    </row>
    <row r="19" spans="1:4">
      <c r="A19" s="504" t="s">
        <v>1119</v>
      </c>
      <c r="B19" s="505">
        <v>2212000</v>
      </c>
      <c r="C19" s="505">
        <f>+Query113[[#This Row],[Estimates]]*1.05</f>
        <v>2322600</v>
      </c>
      <c r="D19" s="505">
        <f>+Query113[[#This Row],[Projected]]*1.05</f>
        <v>2438730</v>
      </c>
    </row>
    <row r="20" spans="1:4">
      <c r="A20" s="504" t="s">
        <v>1120</v>
      </c>
      <c r="B20" s="505">
        <v>51936000</v>
      </c>
      <c r="C20" s="505">
        <f>+Query113[[#This Row],[Estimates]]*1.05</f>
        <v>54532800</v>
      </c>
      <c r="D20" s="505">
        <f>+Query113[[#This Row],[Projected]]*1.05</f>
        <v>57259440</v>
      </c>
    </row>
    <row r="21" spans="1:4" s="508" customFormat="1">
      <c r="A21" s="504" t="s">
        <v>1121</v>
      </c>
      <c r="B21" s="505">
        <v>15090348</v>
      </c>
      <c r="C21" s="505">
        <f>+Query113[[#This Row],[Estimates]]*1.05</f>
        <v>15844865.4</v>
      </c>
      <c r="D21" s="505">
        <f>+Query113[[#This Row],[Projected]]*1.05</f>
        <v>16637108.670000002</v>
      </c>
    </row>
    <row r="22" spans="1:4" s="508" customFormat="1">
      <c r="A22" s="504" t="s">
        <v>1122</v>
      </c>
      <c r="B22" s="505">
        <v>3996000</v>
      </c>
      <c r="C22" s="505">
        <f>+Query113[[#This Row],[Estimates]]*1.05</f>
        <v>4195800</v>
      </c>
      <c r="D22" s="505">
        <f>+Query113[[#This Row],[Projected]]*1.05</f>
        <v>4405590</v>
      </c>
    </row>
    <row r="23" spans="1:4">
      <c r="A23" s="504" t="s">
        <v>1123</v>
      </c>
      <c r="B23" s="505">
        <v>8412320</v>
      </c>
      <c r="C23" s="505">
        <f>+Query113[[#This Row],[Estimates]]*1.05</f>
        <v>8832936</v>
      </c>
      <c r="D23" s="505">
        <f>+Query113[[#This Row],[Projected]]*1.05</f>
        <v>9274582.8000000007</v>
      </c>
    </row>
    <row r="24" spans="1:4">
      <c r="A24" s="504" t="s">
        <v>1124</v>
      </c>
      <c r="B24" s="505">
        <v>13181382</v>
      </c>
      <c r="C24" s="505">
        <f>+Query113[[#This Row],[Estimates]]*1.05</f>
        <v>13840451.100000001</v>
      </c>
      <c r="D24" s="505">
        <f>+Query113[[#This Row],[Projected]]*1.05</f>
        <v>14532473.655000003</v>
      </c>
    </row>
    <row r="25" spans="1:4">
      <c r="A25" s="504" t="s">
        <v>1125</v>
      </c>
      <c r="B25" s="505">
        <v>21544866</v>
      </c>
      <c r="C25" s="505">
        <f>+Query113[[#This Row],[Estimates]]*1.05</f>
        <v>22622109.300000001</v>
      </c>
      <c r="D25" s="505">
        <f>+Query113[[#This Row],[Projected]]*1.05</f>
        <v>23753214.765000001</v>
      </c>
    </row>
    <row r="26" spans="1:4" s="508" customFormat="1">
      <c r="A26" s="504" t="s">
        <v>1126</v>
      </c>
      <c r="B26" s="505">
        <v>233400</v>
      </c>
      <c r="C26" s="505">
        <f>+Query113[[#This Row],[Estimates]]*1.05</f>
        <v>245070</v>
      </c>
      <c r="D26" s="505">
        <f>+Query113[[#This Row],[Projected]]*1.05</f>
        <v>257323.5</v>
      </c>
    </row>
    <row r="27" spans="1:4" s="508" customFormat="1">
      <c r="A27" s="504" t="s">
        <v>1127</v>
      </c>
      <c r="B27" s="505">
        <v>6000000</v>
      </c>
      <c r="C27" s="505">
        <f>+Query113[[#This Row],[Estimates]]*1.05</f>
        <v>6300000</v>
      </c>
      <c r="D27" s="505">
        <f>+Query113[[#This Row],[Projected]]*1.05</f>
        <v>6615000</v>
      </c>
    </row>
    <row r="28" spans="1:4" s="509" customFormat="1">
      <c r="A28" s="506" t="s">
        <v>1128</v>
      </c>
      <c r="B28" s="507">
        <f>SUM(B29:B89)</f>
        <v>403912318</v>
      </c>
      <c r="C28" s="507">
        <f>SUM(C29:C89)</f>
        <v>424107933.89999998</v>
      </c>
      <c r="D28" s="507">
        <f>SUM(D29:D89)</f>
        <v>445313330.59499997</v>
      </c>
    </row>
    <row r="29" spans="1:4">
      <c r="A29" s="504" t="s">
        <v>190</v>
      </c>
      <c r="B29" s="505">
        <v>2500000</v>
      </c>
      <c r="C29" s="505">
        <f>+Query113[[#This Row],[Estimates]]*1.05</f>
        <v>2625000</v>
      </c>
      <c r="D29" s="505">
        <f>+Query113[[#This Row],[Projected]]*1.05</f>
        <v>2756250</v>
      </c>
    </row>
    <row r="30" spans="1:4" s="508" customFormat="1">
      <c r="A30" s="504" t="s">
        <v>250</v>
      </c>
      <c r="B30" s="505">
        <v>1000000</v>
      </c>
      <c r="C30" s="505">
        <f>+Query113[[#This Row],[Estimates]]*1.05</f>
        <v>1050000</v>
      </c>
      <c r="D30" s="505">
        <f>+Query113[[#This Row],[Projected]]*1.05</f>
        <v>1102500</v>
      </c>
    </row>
    <row r="31" spans="1:4">
      <c r="A31" s="504" t="s">
        <v>278</v>
      </c>
      <c r="B31" s="505">
        <v>250000</v>
      </c>
      <c r="C31" s="505">
        <f>+Query113[[#This Row],[Estimates]]*1.05</f>
        <v>262500</v>
      </c>
      <c r="D31" s="505">
        <f>+Query113[[#This Row],[Projected]]*1.05</f>
        <v>275625</v>
      </c>
    </row>
    <row r="32" spans="1:4">
      <c r="A32" s="504" t="s">
        <v>252</v>
      </c>
      <c r="B32" s="505">
        <v>1680000</v>
      </c>
      <c r="C32" s="505">
        <f>+Query113[[#This Row],[Estimates]]*1.05</f>
        <v>1764000</v>
      </c>
      <c r="D32" s="505">
        <f>+Query113[[#This Row],[Projected]]*1.05</f>
        <v>1852200</v>
      </c>
    </row>
    <row r="33" spans="1:4" s="508" customFormat="1">
      <c r="A33" s="504" t="s">
        <v>253</v>
      </c>
      <c r="B33" s="505">
        <v>100000</v>
      </c>
      <c r="C33" s="505">
        <f>+Query113[[#This Row],[Estimates]]*1.05</f>
        <v>105000</v>
      </c>
      <c r="D33" s="505">
        <f>+Query113[[#This Row],[Projected]]*1.05</f>
        <v>110250</v>
      </c>
    </row>
    <row r="34" spans="1:4">
      <c r="A34" s="504" t="s">
        <v>1129</v>
      </c>
      <c r="B34" s="505">
        <v>3000000</v>
      </c>
      <c r="C34" s="505">
        <f>+Query113[[#This Row],[Estimates]]*1.05</f>
        <v>3150000</v>
      </c>
      <c r="D34" s="505">
        <f>+Query113[[#This Row],[Projected]]*1.05</f>
        <v>3307500</v>
      </c>
    </row>
    <row r="35" spans="1:4">
      <c r="A35" s="504" t="s">
        <v>192</v>
      </c>
      <c r="B35" s="505">
        <v>4000000</v>
      </c>
      <c r="C35" s="505">
        <f>+Query113[[#This Row],[Estimates]]*1.05</f>
        <v>4200000</v>
      </c>
      <c r="D35" s="505">
        <f>+Query113[[#This Row],[Projected]]*1.05</f>
        <v>4410000</v>
      </c>
    </row>
    <row r="36" spans="1:4">
      <c r="A36" s="504" t="s">
        <v>194</v>
      </c>
      <c r="B36" s="505">
        <v>101775233</v>
      </c>
      <c r="C36" s="505">
        <f>+Query113[[#This Row],[Estimates]]*1.05</f>
        <v>106863994.65000001</v>
      </c>
      <c r="D36" s="505">
        <f>+Query113[[#This Row],[Projected]]*1.05</f>
        <v>112207194.38250001</v>
      </c>
    </row>
    <row r="37" spans="1:4" s="508" customFormat="1">
      <c r="A37" s="504" t="s">
        <v>1130</v>
      </c>
      <c r="B37" s="505">
        <v>200000</v>
      </c>
      <c r="C37" s="505">
        <f>+Query113[[#This Row],[Estimates]]*1.05</f>
        <v>210000</v>
      </c>
      <c r="D37" s="505">
        <f>+Query113[[#This Row],[Projected]]*1.05</f>
        <v>220500</v>
      </c>
    </row>
    <row r="38" spans="1:4">
      <c r="A38" s="504" t="s">
        <v>254</v>
      </c>
      <c r="B38" s="505">
        <v>2531240</v>
      </c>
      <c r="C38" s="505">
        <f>+Query113[[#This Row],[Estimates]]*1.05</f>
        <v>2657802</v>
      </c>
      <c r="D38" s="505">
        <f>+Query113[[#This Row],[Projected]]*1.05</f>
        <v>2790692.1</v>
      </c>
    </row>
    <row r="39" spans="1:4">
      <c r="A39" s="504" t="s">
        <v>232</v>
      </c>
      <c r="B39" s="505">
        <v>2600000</v>
      </c>
      <c r="C39" s="505">
        <f>+Query113[[#This Row],[Estimates]]*1.05</f>
        <v>2730000</v>
      </c>
      <c r="D39" s="505">
        <f>+Query113[[#This Row],[Projected]]*1.05</f>
        <v>2866500</v>
      </c>
    </row>
    <row r="40" spans="1:4" s="508" customFormat="1">
      <c r="A40" s="504" t="s">
        <v>1131</v>
      </c>
      <c r="B40" s="505">
        <v>35001000</v>
      </c>
      <c r="C40" s="505">
        <f>+Query113[[#This Row],[Estimates]]*1.05</f>
        <v>36751050</v>
      </c>
      <c r="D40" s="505">
        <f>+Query113[[#This Row],[Projected]]*1.05</f>
        <v>38588602.5</v>
      </c>
    </row>
    <row r="41" spans="1:4">
      <c r="A41" s="504" t="s">
        <v>1132</v>
      </c>
      <c r="B41" s="505">
        <v>1000000</v>
      </c>
      <c r="C41" s="505">
        <f>+Query113[[#This Row],[Estimates]]*1.05</f>
        <v>1050000</v>
      </c>
      <c r="D41" s="505">
        <f>+Query113[[#This Row],[Projected]]*1.05</f>
        <v>1102500</v>
      </c>
    </row>
    <row r="42" spans="1:4">
      <c r="A42" s="504" t="s">
        <v>1133</v>
      </c>
      <c r="B42" s="505">
        <v>6000000</v>
      </c>
      <c r="C42" s="505">
        <f>+Query113[[#This Row],[Estimates]]*1.05</f>
        <v>6300000</v>
      </c>
      <c r="D42" s="505">
        <f>+Query113[[#This Row],[Projected]]*1.05</f>
        <v>6615000</v>
      </c>
    </row>
    <row r="43" spans="1:4">
      <c r="A43" s="504" t="s">
        <v>233</v>
      </c>
      <c r="B43" s="505">
        <v>5800000</v>
      </c>
      <c r="C43" s="505">
        <f>+Query113[[#This Row],[Estimates]]*1.05</f>
        <v>6090000</v>
      </c>
      <c r="D43" s="505">
        <f>+Query113[[#This Row],[Projected]]*1.05</f>
        <v>6394500</v>
      </c>
    </row>
    <row r="44" spans="1:4">
      <c r="A44" s="504" t="s">
        <v>196</v>
      </c>
      <c r="B44" s="505">
        <v>3000000</v>
      </c>
      <c r="C44" s="505">
        <f>+Query113[[#This Row],[Estimates]]*1.05</f>
        <v>3150000</v>
      </c>
      <c r="D44" s="505">
        <f>+Query113[[#This Row],[Projected]]*1.05</f>
        <v>3307500</v>
      </c>
    </row>
    <row r="45" spans="1:4">
      <c r="A45" s="504" t="s">
        <v>328</v>
      </c>
      <c r="B45" s="505">
        <v>500000</v>
      </c>
      <c r="C45" s="505">
        <f>+Query113[[#This Row],[Estimates]]*1.05</f>
        <v>525000</v>
      </c>
      <c r="D45" s="505">
        <f>+Query113[[#This Row],[Projected]]*1.05</f>
        <v>551250</v>
      </c>
    </row>
    <row r="46" spans="1:4">
      <c r="A46" s="504" t="s">
        <v>257</v>
      </c>
      <c r="B46" s="505">
        <v>2976000</v>
      </c>
      <c r="C46" s="505">
        <f>+Query113[[#This Row],[Estimates]]*1.05</f>
        <v>3124800</v>
      </c>
      <c r="D46" s="505">
        <f>+Query113[[#This Row],[Projected]]*1.05</f>
        <v>3281040</v>
      </c>
    </row>
    <row r="47" spans="1:4">
      <c r="A47" s="504" t="s">
        <v>443</v>
      </c>
      <c r="B47" s="505">
        <v>150000</v>
      </c>
      <c r="C47" s="505">
        <f>+Query113[[#This Row],[Estimates]]*1.05</f>
        <v>157500</v>
      </c>
      <c r="D47" s="505">
        <f>+Query113[[#This Row],[Projected]]*1.05</f>
        <v>165375</v>
      </c>
    </row>
    <row r="48" spans="1:4">
      <c r="A48" s="504" t="s">
        <v>259</v>
      </c>
      <c r="B48" s="505">
        <v>67500</v>
      </c>
      <c r="C48" s="505">
        <f>+Query113[[#This Row],[Estimates]]*1.05</f>
        <v>70875</v>
      </c>
      <c r="D48" s="505">
        <f>+Query113[[#This Row],[Projected]]*1.05</f>
        <v>74418.75</v>
      </c>
    </row>
    <row r="49" spans="1:4">
      <c r="A49" s="504" t="s">
        <v>294</v>
      </c>
      <c r="B49" s="505">
        <v>1000000</v>
      </c>
      <c r="C49" s="505">
        <f>+Query113[[#This Row],[Estimates]]*1.05</f>
        <v>1050000</v>
      </c>
      <c r="D49" s="505">
        <f>+Query113[[#This Row],[Projected]]*1.05</f>
        <v>1102500</v>
      </c>
    </row>
    <row r="50" spans="1:4">
      <c r="A50" s="504" t="s">
        <v>1134</v>
      </c>
      <c r="B50" s="505">
        <v>1200000</v>
      </c>
      <c r="C50" s="505">
        <f>+Query113[[#This Row],[Estimates]]*1.05</f>
        <v>1260000</v>
      </c>
      <c r="D50" s="505">
        <f>+Query113[[#This Row],[Projected]]*1.05</f>
        <v>1323000</v>
      </c>
    </row>
    <row r="51" spans="1:4" s="508" customFormat="1">
      <c r="A51" s="504" t="s">
        <v>295</v>
      </c>
      <c r="B51" s="505">
        <v>0</v>
      </c>
      <c r="C51" s="505">
        <f>+Query113[[#This Row],[Estimates]]*1.05</f>
        <v>0</v>
      </c>
      <c r="D51" s="505">
        <f>+Query113[[#This Row],[Projected]]*1.05</f>
        <v>0</v>
      </c>
    </row>
    <row r="52" spans="1:4">
      <c r="A52" s="504" t="s">
        <v>444</v>
      </c>
      <c r="B52" s="505">
        <v>2500000</v>
      </c>
      <c r="C52" s="505">
        <f>+Query113[[#This Row],[Estimates]]*1.05</f>
        <v>2625000</v>
      </c>
      <c r="D52" s="505">
        <f>+Query113[[#This Row],[Projected]]*1.05</f>
        <v>2756250</v>
      </c>
    </row>
    <row r="53" spans="1:4">
      <c r="A53" s="504" t="s">
        <v>261</v>
      </c>
      <c r="B53" s="505">
        <v>8150000</v>
      </c>
      <c r="C53" s="505">
        <f>+Query113[[#This Row],[Estimates]]*1.05</f>
        <v>8557500</v>
      </c>
      <c r="D53" s="505">
        <f>+Query113[[#This Row],[Projected]]*1.05</f>
        <v>8985375</v>
      </c>
    </row>
    <row r="54" spans="1:4" s="508" customFormat="1">
      <c r="A54" s="504" t="s">
        <v>1135</v>
      </c>
      <c r="B54" s="505">
        <v>17200000</v>
      </c>
      <c r="C54" s="505">
        <f>+Query113[[#This Row],[Estimates]]*1.05</f>
        <v>18060000</v>
      </c>
      <c r="D54" s="505">
        <f>+Query113[[#This Row],[Projected]]*1.05</f>
        <v>18963000</v>
      </c>
    </row>
    <row r="55" spans="1:4">
      <c r="A55" s="504" t="s">
        <v>201</v>
      </c>
      <c r="B55" s="505">
        <v>5519500</v>
      </c>
      <c r="C55" s="505">
        <f>+Query113[[#This Row],[Estimates]]*1.05</f>
        <v>5795475</v>
      </c>
      <c r="D55" s="505">
        <f>+Query113[[#This Row],[Projected]]*1.05</f>
        <v>6085248.75</v>
      </c>
    </row>
    <row r="56" spans="1:4">
      <c r="A56" s="504" t="s">
        <v>202</v>
      </c>
      <c r="B56" s="505">
        <v>37800000</v>
      </c>
      <c r="C56" s="505">
        <f>+Query113[[#This Row],[Estimates]]*1.05</f>
        <v>39690000</v>
      </c>
      <c r="D56" s="505">
        <f>+Query113[[#This Row],[Projected]]*1.05</f>
        <v>41674500</v>
      </c>
    </row>
    <row r="57" spans="1:4" s="508" customFormat="1">
      <c r="A57" s="504" t="s">
        <v>1136</v>
      </c>
      <c r="B57" s="505">
        <v>1156000</v>
      </c>
      <c r="C57" s="505">
        <f>+Query113[[#This Row],[Estimates]]*1.05</f>
        <v>1213800</v>
      </c>
      <c r="D57" s="505">
        <f>+Query113[[#This Row],[Projected]]*1.05</f>
        <v>1274490</v>
      </c>
    </row>
    <row r="58" spans="1:4">
      <c r="A58" s="504" t="s">
        <v>1137</v>
      </c>
      <c r="B58" s="505">
        <v>14000000</v>
      </c>
      <c r="C58" s="505">
        <f>+Query113[[#This Row],[Estimates]]*1.05</f>
        <v>14700000</v>
      </c>
      <c r="D58" s="505">
        <f>+Query113[[#This Row],[Projected]]*1.05</f>
        <v>15435000</v>
      </c>
    </row>
    <row r="59" spans="1:4">
      <c r="A59" s="504" t="s">
        <v>262</v>
      </c>
      <c r="B59" s="505">
        <v>3000000</v>
      </c>
      <c r="C59" s="505">
        <f>+Query113[[#This Row],[Estimates]]*1.05</f>
        <v>3150000</v>
      </c>
      <c r="D59" s="505">
        <f>+Query113[[#This Row],[Projected]]*1.05</f>
        <v>3307500</v>
      </c>
    </row>
    <row r="60" spans="1:4">
      <c r="A60" s="504" t="s">
        <v>450</v>
      </c>
      <c r="B60" s="505">
        <v>43000000</v>
      </c>
      <c r="C60" s="505">
        <f>+Query113[[#This Row],[Estimates]]*1.05</f>
        <v>45150000</v>
      </c>
      <c r="D60" s="505">
        <f>+Query113[[#This Row],[Projected]]*1.05</f>
        <v>47407500</v>
      </c>
    </row>
    <row r="61" spans="1:4" s="508" customFormat="1">
      <c r="A61" s="504" t="s">
        <v>1138</v>
      </c>
      <c r="B61" s="505">
        <v>1000000</v>
      </c>
      <c r="C61" s="505">
        <f>+Query113[[#This Row],[Estimates]]*1.05</f>
        <v>1050000</v>
      </c>
      <c r="D61" s="505">
        <f>+Query113[[#This Row],[Projected]]*1.05</f>
        <v>1102500</v>
      </c>
    </row>
    <row r="62" spans="1:4" s="508" customFormat="1">
      <c r="A62" s="504" t="s">
        <v>1139</v>
      </c>
      <c r="B62" s="505">
        <v>1500000</v>
      </c>
      <c r="C62" s="505">
        <f>+Query113[[#This Row],[Estimates]]*1.05</f>
        <v>1575000</v>
      </c>
      <c r="D62" s="505">
        <f>+Query113[[#This Row],[Projected]]*1.05</f>
        <v>1653750</v>
      </c>
    </row>
    <row r="63" spans="1:4">
      <c r="A63" s="504" t="s">
        <v>1140</v>
      </c>
      <c r="B63" s="505">
        <v>100000</v>
      </c>
      <c r="C63" s="505">
        <f>+Query113[[#This Row],[Estimates]]*1.05</f>
        <v>105000</v>
      </c>
      <c r="D63" s="505">
        <f>+Query113[[#This Row],[Projected]]*1.05</f>
        <v>110250</v>
      </c>
    </row>
    <row r="64" spans="1:4">
      <c r="A64" s="504" t="s">
        <v>1141</v>
      </c>
      <c r="B64" s="505">
        <v>100000</v>
      </c>
      <c r="C64" s="505">
        <f>+Query113[[#This Row],[Estimates]]*1.05</f>
        <v>105000</v>
      </c>
      <c r="D64" s="505">
        <f>+Query113[[#This Row],[Projected]]*1.05</f>
        <v>110250</v>
      </c>
    </row>
    <row r="65" spans="1:4">
      <c r="A65" s="504" t="s">
        <v>291</v>
      </c>
      <c r="B65" s="505">
        <v>886500</v>
      </c>
      <c r="C65" s="505">
        <f>+Query113[[#This Row],[Estimates]]*1.05</f>
        <v>930825</v>
      </c>
      <c r="D65" s="505">
        <f>+Query113[[#This Row],[Projected]]*1.05</f>
        <v>977366.25</v>
      </c>
    </row>
    <row r="66" spans="1:4">
      <c r="A66" s="504" t="s">
        <v>1142</v>
      </c>
      <c r="B66" s="505">
        <v>5000000</v>
      </c>
      <c r="C66" s="505">
        <f>+Query113[[#This Row],[Estimates]]*1.05</f>
        <v>5250000</v>
      </c>
      <c r="D66" s="505">
        <f>+Query113[[#This Row],[Projected]]*1.05</f>
        <v>5512500</v>
      </c>
    </row>
    <row r="67" spans="1:4">
      <c r="A67" s="504" t="s">
        <v>1143</v>
      </c>
      <c r="B67" s="505">
        <v>150000</v>
      </c>
      <c r="C67" s="505">
        <f>+Query113[[#This Row],[Estimates]]*1.05</f>
        <v>157500</v>
      </c>
      <c r="D67" s="505">
        <f>+Query113[[#This Row],[Projected]]*1.05</f>
        <v>165375</v>
      </c>
    </row>
    <row r="68" spans="1:4">
      <c r="A68" s="504" t="s">
        <v>206</v>
      </c>
      <c r="B68" s="505">
        <v>1742910</v>
      </c>
      <c r="C68" s="505">
        <f>+Query113[[#This Row],[Estimates]]*1.05</f>
        <v>1830055.5</v>
      </c>
      <c r="D68" s="505">
        <f>+Query113[[#This Row],[Projected]]*1.05</f>
        <v>1921558.2750000001</v>
      </c>
    </row>
    <row r="69" spans="1:4">
      <c r="A69" s="504" t="s">
        <v>263</v>
      </c>
      <c r="B69" s="505">
        <v>2850000</v>
      </c>
      <c r="C69" s="505">
        <f>+Query113[[#This Row],[Estimates]]*1.05</f>
        <v>2992500</v>
      </c>
      <c r="D69" s="505">
        <f>+Query113[[#This Row],[Projected]]*1.05</f>
        <v>3142125</v>
      </c>
    </row>
    <row r="70" spans="1:4">
      <c r="A70" s="504" t="s">
        <v>207</v>
      </c>
      <c r="B70" s="505">
        <v>472525</v>
      </c>
      <c r="C70" s="505">
        <f>+Query113[[#This Row],[Estimates]]*1.05</f>
        <v>496151.25</v>
      </c>
      <c r="D70" s="505">
        <f>+Query113[[#This Row],[Projected]]*1.05</f>
        <v>520958.8125</v>
      </c>
    </row>
    <row r="71" spans="1:4">
      <c r="A71" s="504" t="s">
        <v>209</v>
      </c>
      <c r="B71" s="505">
        <v>3500000</v>
      </c>
      <c r="C71" s="505">
        <f>+Query113[[#This Row],[Estimates]]*1.05</f>
        <v>3675000</v>
      </c>
      <c r="D71" s="505">
        <f>+Query113[[#This Row],[Projected]]*1.05</f>
        <v>3858750</v>
      </c>
    </row>
    <row r="72" spans="1:4" s="508" customFormat="1">
      <c r="A72" s="504" t="s">
        <v>1144</v>
      </c>
      <c r="B72" s="505">
        <v>500000</v>
      </c>
      <c r="C72" s="505">
        <f>+Query113[[#This Row],[Estimates]]*1.05</f>
        <v>525000</v>
      </c>
      <c r="D72" s="505">
        <f>+Query113[[#This Row],[Projected]]*1.05</f>
        <v>551250</v>
      </c>
    </row>
    <row r="73" spans="1:4">
      <c r="A73" s="504" t="s">
        <v>1145</v>
      </c>
      <c r="B73" s="505">
        <v>150000</v>
      </c>
      <c r="C73" s="505">
        <f>+Query113[[#This Row],[Estimates]]*1.05</f>
        <v>157500</v>
      </c>
      <c r="D73" s="505">
        <f>+Query113[[#This Row],[Projected]]*1.05</f>
        <v>165375</v>
      </c>
    </row>
    <row r="74" spans="1:4">
      <c r="A74" s="504" t="s">
        <v>1146</v>
      </c>
      <c r="B74" s="505">
        <v>14000000</v>
      </c>
      <c r="C74" s="505">
        <f>+Query113[[#This Row],[Estimates]]*1.05</f>
        <v>14700000</v>
      </c>
      <c r="D74" s="505">
        <f>+Query113[[#This Row],[Projected]]*1.05</f>
        <v>15435000</v>
      </c>
    </row>
    <row r="75" spans="1:4">
      <c r="A75" s="504" t="s">
        <v>211</v>
      </c>
      <c r="B75" s="505">
        <v>7010000</v>
      </c>
      <c r="C75" s="505">
        <f>+Query113[[#This Row],[Estimates]]*1.05</f>
        <v>7360500</v>
      </c>
      <c r="D75" s="505">
        <f>+Query113[[#This Row],[Projected]]*1.05</f>
        <v>7728525</v>
      </c>
    </row>
    <row r="76" spans="1:4" s="508" customFormat="1">
      <c r="A76" s="504" t="s">
        <v>1147</v>
      </c>
      <c r="B76" s="505">
        <v>8000000</v>
      </c>
      <c r="C76" s="505">
        <f>+Query113[[#This Row],[Estimates]]*1.05</f>
        <v>8400000</v>
      </c>
      <c r="D76" s="505">
        <f>+Query113[[#This Row],[Projected]]*1.05</f>
        <v>8820000</v>
      </c>
    </row>
    <row r="77" spans="1:4" s="508" customFormat="1">
      <c r="A77" s="504" t="s">
        <v>1148</v>
      </c>
      <c r="B77" s="505">
        <v>6000000</v>
      </c>
      <c r="C77" s="505">
        <f>+Query113[[#This Row],[Estimates]]*1.05</f>
        <v>6300000</v>
      </c>
      <c r="D77" s="505">
        <f>+Query113[[#This Row],[Projected]]*1.05</f>
        <v>6615000</v>
      </c>
    </row>
    <row r="78" spans="1:4">
      <c r="A78" s="504" t="s">
        <v>1149</v>
      </c>
      <c r="B78" s="505">
        <v>700000</v>
      </c>
      <c r="C78" s="505">
        <f>+Query113[[#This Row],[Estimates]]*1.05</f>
        <v>735000</v>
      </c>
      <c r="D78" s="505">
        <f>+Query113[[#This Row],[Projected]]*1.05</f>
        <v>771750</v>
      </c>
    </row>
    <row r="79" spans="1:4">
      <c r="A79" s="504" t="s">
        <v>264</v>
      </c>
      <c r="B79" s="505">
        <v>300000</v>
      </c>
      <c r="C79" s="505">
        <f>+Query113[[#This Row],[Estimates]]*1.05</f>
        <v>315000</v>
      </c>
      <c r="D79" s="505">
        <f>+Query113[[#This Row],[Projected]]*1.05</f>
        <v>330750</v>
      </c>
    </row>
    <row r="80" spans="1:4">
      <c r="A80" s="504" t="s">
        <v>1150</v>
      </c>
      <c r="B80" s="505">
        <v>50000</v>
      </c>
      <c r="C80" s="505">
        <f>+Query113[[#This Row],[Estimates]]*1.05</f>
        <v>52500</v>
      </c>
      <c r="D80" s="505">
        <f>+Query113[[#This Row],[Projected]]*1.05</f>
        <v>55125</v>
      </c>
    </row>
    <row r="81" spans="1:4">
      <c r="A81" s="504" t="s">
        <v>1151</v>
      </c>
      <c r="B81" s="505">
        <v>13579410</v>
      </c>
      <c r="C81" s="505">
        <f>+Query113[[#This Row],[Estimates]]*1.05</f>
        <v>14258380.5</v>
      </c>
      <c r="D81" s="505">
        <f>+Query113[[#This Row],[Projected]]*1.05</f>
        <v>14971299.525</v>
      </c>
    </row>
    <row r="82" spans="1:4">
      <c r="A82" s="504" t="s">
        <v>266</v>
      </c>
      <c r="B82" s="505">
        <v>17964500</v>
      </c>
      <c r="C82" s="505">
        <f>+Query113[[#This Row],[Estimates]]*1.05</f>
        <v>18862725</v>
      </c>
      <c r="D82" s="505">
        <f>+Query113[[#This Row],[Projected]]*1.05</f>
        <v>19805861.25</v>
      </c>
    </row>
    <row r="83" spans="1:4" s="508" customFormat="1">
      <c r="A83" s="504" t="s">
        <v>213</v>
      </c>
      <c r="B83" s="505">
        <v>2000000</v>
      </c>
      <c r="C83" s="505">
        <f>+Query113[[#This Row],[Estimates]]*1.05</f>
        <v>2100000</v>
      </c>
      <c r="D83" s="505">
        <f>+Query113[[#This Row],[Projected]]*1.05</f>
        <v>2205000</v>
      </c>
    </row>
    <row r="84" spans="1:4">
      <c r="A84" s="504" t="s">
        <v>1152</v>
      </c>
      <c r="B84" s="505">
        <v>2500000</v>
      </c>
      <c r="C84" s="505">
        <f>+Query113[[#This Row],[Estimates]]*1.05</f>
        <v>2625000</v>
      </c>
      <c r="D84" s="505">
        <f>+Query113[[#This Row],[Projected]]*1.05</f>
        <v>2756250</v>
      </c>
    </row>
    <row r="85" spans="1:4">
      <c r="A85" s="504" t="s">
        <v>962</v>
      </c>
      <c r="B85" s="505">
        <v>1500000</v>
      </c>
      <c r="C85" s="505">
        <f>+Query113[[#This Row],[Estimates]]*1.05</f>
        <v>1575000</v>
      </c>
      <c r="D85" s="505">
        <f>+Query113[[#This Row],[Projected]]*1.05</f>
        <v>1653750</v>
      </c>
    </row>
    <row r="86" spans="1:4" s="508" customFormat="1">
      <c r="A86" s="504" t="s">
        <v>337</v>
      </c>
      <c r="B86" s="505">
        <v>200000</v>
      </c>
      <c r="C86" s="505">
        <f>+Query113[[#This Row],[Estimates]]*1.05</f>
        <v>210000</v>
      </c>
      <c r="D86" s="505">
        <f>+Query113[[#This Row],[Projected]]*1.05</f>
        <v>220500</v>
      </c>
    </row>
    <row r="87" spans="1:4">
      <c r="A87" s="504" t="s">
        <v>268</v>
      </c>
      <c r="B87" s="505">
        <v>1000000</v>
      </c>
      <c r="C87" s="505">
        <f>+Query113[[#This Row],[Estimates]]*1.05</f>
        <v>1050000</v>
      </c>
      <c r="D87" s="505">
        <f>+Query113[[#This Row],[Projected]]*1.05</f>
        <v>1102500</v>
      </c>
    </row>
    <row r="88" spans="1:4">
      <c r="A88" s="504" t="s">
        <v>269</v>
      </c>
      <c r="B88" s="505">
        <v>1000000</v>
      </c>
      <c r="C88" s="505">
        <f>+Query113[[#This Row],[Estimates]]*1.05</f>
        <v>1050000</v>
      </c>
      <c r="D88" s="505">
        <f>+Query113[[#This Row],[Projected]]*1.05</f>
        <v>1102500</v>
      </c>
    </row>
    <row r="89" spans="1:4">
      <c r="A89" s="504" t="s">
        <v>1153</v>
      </c>
      <c r="B89" s="505">
        <v>1500000</v>
      </c>
      <c r="C89" s="505">
        <f>+Query113[[#This Row],[Estimates]]*1.05</f>
        <v>1575000</v>
      </c>
      <c r="D89" s="505">
        <f>+Query113[[#This Row],[Projected]]*1.05</f>
        <v>1653750</v>
      </c>
    </row>
    <row r="90" spans="1:4" s="502" customFormat="1">
      <c r="A90" s="506" t="s">
        <v>1154</v>
      </c>
      <c r="B90" s="507">
        <f>SUM(B91:B92)</f>
        <v>32335554</v>
      </c>
      <c r="C90" s="507">
        <f t="shared" ref="C90:D90" si="1">SUM(C91:C92)</f>
        <v>33952331.700000003</v>
      </c>
      <c r="D90" s="507">
        <f t="shared" si="1"/>
        <v>35649948.285000004</v>
      </c>
    </row>
    <row r="91" spans="1:4">
      <c r="A91" s="504" t="s">
        <v>1155</v>
      </c>
      <c r="B91" s="505">
        <v>6889180</v>
      </c>
      <c r="C91" s="505">
        <f>+Query113[[#This Row],[Estimates]]*1.05</f>
        <v>7233639</v>
      </c>
      <c r="D91" s="505">
        <f>+Query113[[#This Row],[Projected]]*1.05</f>
        <v>7595320.9500000002</v>
      </c>
    </row>
    <row r="92" spans="1:4">
      <c r="A92" s="504" t="s">
        <v>1156</v>
      </c>
      <c r="B92" s="505">
        <v>25446374</v>
      </c>
      <c r="C92" s="505">
        <f>+Query113[[#This Row],[Estimates]]*1.05</f>
        <v>26718692.700000003</v>
      </c>
      <c r="D92" s="505">
        <f>+Query113[[#This Row],[Projected]]*1.05</f>
        <v>28054627.335000005</v>
      </c>
    </row>
    <row r="93" spans="1:4" s="509" customFormat="1">
      <c r="A93" s="506" t="s">
        <v>1157</v>
      </c>
      <c r="B93" s="507">
        <f>SUM(B94:B97)</f>
        <v>3700000</v>
      </c>
      <c r="C93" s="507">
        <f t="shared" ref="C93:D93" si="2">SUM(C94:C97)</f>
        <v>3885000</v>
      </c>
      <c r="D93" s="507">
        <f t="shared" si="2"/>
        <v>4079250</v>
      </c>
    </row>
    <row r="94" spans="1:4">
      <c r="A94" s="504" t="s">
        <v>272</v>
      </c>
      <c r="B94" s="505">
        <v>900000</v>
      </c>
      <c r="C94" s="505">
        <f>+Query113[[#This Row],[Estimates]]*1.05</f>
        <v>945000</v>
      </c>
      <c r="D94" s="505">
        <f>+Query113[[#This Row],[Projected]]*1.05</f>
        <v>992250</v>
      </c>
    </row>
    <row r="95" spans="1:4">
      <c r="A95" s="504" t="s">
        <v>1158</v>
      </c>
      <c r="B95" s="505">
        <v>600000</v>
      </c>
      <c r="C95" s="505">
        <f>+Query113[[#This Row],[Estimates]]*1.05</f>
        <v>630000</v>
      </c>
      <c r="D95" s="505">
        <f>+Query113[[#This Row],[Projected]]*1.05</f>
        <v>661500</v>
      </c>
    </row>
    <row r="96" spans="1:4" s="508" customFormat="1">
      <c r="A96" s="504" t="s">
        <v>1159</v>
      </c>
      <c r="B96" s="505">
        <v>1500000</v>
      </c>
      <c r="C96" s="505">
        <f>+Query113[[#This Row],[Estimates]]*1.05</f>
        <v>1575000</v>
      </c>
      <c r="D96" s="505">
        <f>+Query113[[#This Row],[Projected]]*1.05</f>
        <v>1653750</v>
      </c>
    </row>
    <row r="97" spans="1:4" s="69" customFormat="1">
      <c r="A97" s="510" t="s">
        <v>1160</v>
      </c>
      <c r="B97" s="505">
        <v>700000</v>
      </c>
      <c r="C97" s="505">
        <f>+Query113[[#This Row],[Estimates]]*1.05</f>
        <v>735000</v>
      </c>
      <c r="D97" s="505">
        <f>+Query113[[#This Row],[Projected]]*1.05</f>
        <v>771750</v>
      </c>
    </row>
    <row r="98" spans="1:4">
      <c r="A98" s="504"/>
      <c r="B98" s="505">
        <f>B93+B90+B28+B6</f>
        <v>966961439</v>
      </c>
      <c r="C98" s="505">
        <f t="shared" ref="C98:D98" si="3">C93+C90+C28+C6</f>
        <v>1015309510.95</v>
      </c>
      <c r="D98" s="505">
        <f t="shared" si="3"/>
        <v>1066074986.4975001</v>
      </c>
    </row>
    <row r="99" spans="1:4" s="509" customFormat="1">
      <c r="A99" s="506" t="s">
        <v>1161</v>
      </c>
      <c r="B99" s="507">
        <f>SUM(B100:B104)</f>
        <v>199500000</v>
      </c>
      <c r="C99" s="507">
        <f t="shared" ref="C99:D99" si="4">SUM(C100:C104)</f>
        <v>209475000</v>
      </c>
      <c r="D99" s="507">
        <f t="shared" si="4"/>
        <v>219948750.00000003</v>
      </c>
    </row>
    <row r="100" spans="1:4" s="508" customFormat="1">
      <c r="A100" s="504" t="s">
        <v>1162</v>
      </c>
      <c r="B100" s="505">
        <f>65010592+238148</f>
        <v>65248740</v>
      </c>
      <c r="C100" s="505">
        <f>+Query113[[#This Row],[Estimates]]*1.05</f>
        <v>68511177</v>
      </c>
      <c r="D100" s="505">
        <f>+Query113[[#This Row],[Projected]]*1.05</f>
        <v>71936735.850000009</v>
      </c>
    </row>
    <row r="101" spans="1:4">
      <c r="A101" s="504" t="s">
        <v>1163</v>
      </c>
      <c r="B101" s="505">
        <v>8500000</v>
      </c>
      <c r="C101" s="505">
        <f>+Query113[[#This Row],[Estimates]]*1.05</f>
        <v>8925000</v>
      </c>
      <c r="D101" s="505">
        <f>+Query113[[#This Row],[Projected]]*1.05</f>
        <v>9371250</v>
      </c>
    </row>
    <row r="102" spans="1:4" s="508" customFormat="1">
      <c r="A102" s="504" t="s">
        <v>1164</v>
      </c>
      <c r="B102" s="505">
        <f>2400000-238148</f>
        <v>2161852</v>
      </c>
      <c r="C102" s="505">
        <f>+Query113[[#This Row],[Estimates]]*1.05</f>
        <v>2269944.6</v>
      </c>
      <c r="D102" s="505">
        <f>+Query113[[#This Row],[Projected]]*1.05</f>
        <v>2383441.83</v>
      </c>
    </row>
    <row r="103" spans="1:4">
      <c r="A103" s="504" t="s">
        <v>271</v>
      </c>
      <c r="B103" s="505">
        <v>123589408</v>
      </c>
      <c r="C103" s="505">
        <f>+Query113[[#This Row],[Estimates]]*1.05</f>
        <v>129768878.40000001</v>
      </c>
      <c r="D103" s="505">
        <f>+Query113[[#This Row],[Projected]]*1.05</f>
        <v>136257322.32000002</v>
      </c>
    </row>
    <row r="104" spans="1:4">
      <c r="A104" s="504" t="s">
        <v>1165</v>
      </c>
      <c r="B104" s="505">
        <v>0</v>
      </c>
      <c r="C104" s="505">
        <f>+Query113[[#This Row],[Estimates]]*1.05</f>
        <v>0</v>
      </c>
      <c r="D104" s="505">
        <f>+Query113[[#This Row],[Projected]]*1.05</f>
        <v>0</v>
      </c>
    </row>
    <row r="105" spans="1:4">
      <c r="A105" s="504"/>
      <c r="B105" s="505"/>
      <c r="C105" s="505">
        <f>+Query113[[#This Row],[Estimates]]*1.05</f>
        <v>0</v>
      </c>
      <c r="D105" s="505">
        <f>+Query113[[#This Row],[Projected]]*1.05</f>
        <v>0</v>
      </c>
    </row>
    <row r="106" spans="1:4">
      <c r="A106" s="506" t="s">
        <v>1166</v>
      </c>
      <c r="B106" s="507">
        <f>B6+B28+B90+B99+B93</f>
        <v>1166461439</v>
      </c>
      <c r="C106" s="505">
        <f>+Query113[[#This Row],[Estimates]]*1.05</f>
        <v>1224784510.95</v>
      </c>
      <c r="D106" s="505">
        <f>+Query113[[#This Row],[Projected]]*1.05</f>
        <v>1286023736.4975002</v>
      </c>
    </row>
    <row r="107" spans="1:4">
      <c r="A107" s="506"/>
      <c r="B107" s="507"/>
      <c r="C107" s="505"/>
      <c r="D107" s="505"/>
    </row>
    <row r="108" spans="1:4">
      <c r="A108" s="506"/>
      <c r="B108" s="507"/>
      <c r="C108" s="505"/>
      <c r="D108" s="505"/>
    </row>
    <row r="109" spans="1:4">
      <c r="A109" s="506"/>
      <c r="B109" s="507"/>
      <c r="C109" s="505"/>
      <c r="D109" s="505"/>
    </row>
    <row r="110" spans="1:4">
      <c r="A110" s="506"/>
      <c r="B110" s="507"/>
      <c r="C110" s="505"/>
      <c r="D110" s="505"/>
    </row>
    <row r="111" spans="1:4">
      <c r="A111" s="506"/>
      <c r="B111" s="507"/>
      <c r="C111" s="505"/>
      <c r="D111" s="505"/>
    </row>
    <row r="112" spans="1:4">
      <c r="A112" s="506"/>
      <c r="B112" s="507"/>
      <c r="C112" s="505"/>
      <c r="D112" s="505"/>
    </row>
    <row r="113" spans="1:4">
      <c r="A113" s="506"/>
      <c r="B113" s="507"/>
      <c r="C113" s="505"/>
      <c r="D113" s="505"/>
    </row>
    <row r="114" spans="1:4">
      <c r="A114" s="506"/>
      <c r="B114" s="507"/>
      <c r="C114" s="505"/>
      <c r="D114" s="505"/>
    </row>
    <row r="115" spans="1:4">
      <c r="A115" s="506"/>
      <c r="B115" s="507"/>
      <c r="C115" s="505"/>
      <c r="D115" s="505"/>
    </row>
    <row r="116" spans="1:4">
      <c r="A116" s="506"/>
      <c r="B116" s="507"/>
      <c r="C116" s="505"/>
      <c r="D116" s="505"/>
    </row>
    <row r="117" spans="1:4">
      <c r="A117" s="506"/>
      <c r="B117" s="507"/>
      <c r="C117" s="505"/>
      <c r="D117" s="505"/>
    </row>
    <row r="118" spans="1:4">
      <c r="A118" s="506"/>
      <c r="B118" s="507"/>
      <c r="C118" s="505"/>
      <c r="D118" s="505"/>
    </row>
    <row r="119" spans="1:4">
      <c r="A119" s="511"/>
      <c r="B119" s="512"/>
      <c r="C119" s="512"/>
      <c r="D119" s="512"/>
    </row>
    <row r="120" spans="1:4">
      <c r="A120" s="511"/>
      <c r="B120" s="512"/>
      <c r="C120" s="512"/>
      <c r="D120" s="512"/>
    </row>
    <row r="121" spans="1:4">
      <c r="A121" s="511"/>
      <c r="B121" s="512"/>
      <c r="C121" s="512"/>
      <c r="D121" s="512"/>
    </row>
    <row r="122" spans="1:4">
      <c r="A122" s="511"/>
      <c r="B122" s="512"/>
      <c r="C122" s="512"/>
      <c r="D122" s="512"/>
    </row>
  </sheetData>
  <pageMargins left="0.7" right="0.7" top="0.75" bottom="0.75" header="0.3" footer="0.3"/>
  <legacy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6" sqref="C6"/>
    </sheetView>
  </sheetViews>
  <sheetFormatPr defaultColWidth="9.08984375" defaultRowHeight="18.5"/>
  <cols>
    <col min="1" max="1" width="34.08984375" style="441" customWidth="1"/>
    <col min="2" max="2" width="25.36328125" style="591" customWidth="1"/>
    <col min="3" max="3" width="20.6328125" style="591" customWidth="1"/>
    <col min="4" max="4" width="23.6328125" style="591" customWidth="1"/>
    <col min="5" max="5" width="19.54296875" style="593" customWidth="1"/>
    <col min="6" max="6" width="18.36328125" style="591" bestFit="1" customWidth="1"/>
    <col min="7" max="7" width="30.6328125" style="441" customWidth="1"/>
    <col min="8" max="16384" width="9.08984375" style="441"/>
  </cols>
  <sheetData>
    <row r="1" spans="1:6">
      <c r="A1" s="441" t="s">
        <v>1083</v>
      </c>
      <c r="C1" s="592"/>
    </row>
    <row r="2" spans="1:6" s="457" customFormat="1">
      <c r="A2" s="456" t="s">
        <v>1084</v>
      </c>
      <c r="B2" s="594" t="s">
        <v>1085</v>
      </c>
      <c r="C2" s="594" t="s">
        <v>1086</v>
      </c>
      <c r="D2" s="594" t="s">
        <v>1087</v>
      </c>
      <c r="E2" s="595" t="s">
        <v>1039</v>
      </c>
      <c r="F2" s="594" t="s">
        <v>1176</v>
      </c>
    </row>
    <row r="3" spans="1:6">
      <c r="A3" s="454" t="s">
        <v>1088</v>
      </c>
      <c r="B3" s="596">
        <v>8436953181</v>
      </c>
      <c r="C3" s="596">
        <v>6711832520</v>
      </c>
      <c r="D3" s="597">
        <v>1710300868</v>
      </c>
      <c r="E3" s="703">
        <v>569501137.57833481</v>
      </c>
      <c r="F3" s="704">
        <f>D3-E3</f>
        <v>1140799730.4216652</v>
      </c>
    </row>
    <row r="4" spans="1:6">
      <c r="A4" s="454" t="s">
        <v>1089</v>
      </c>
      <c r="B4" s="598">
        <v>399000000</v>
      </c>
      <c r="C4" s="598">
        <v>210000000</v>
      </c>
      <c r="D4" s="597">
        <f t="shared" ref="D4:D12" si="0">B4-C4</f>
        <v>189000000</v>
      </c>
      <c r="E4" s="705">
        <f>B4-C4</f>
        <v>189000000</v>
      </c>
      <c r="F4" s="704">
        <f t="shared" ref="F4:F14" si="1">D4-E4</f>
        <v>0</v>
      </c>
    </row>
    <row r="5" spans="1:6">
      <c r="A5" s="454" t="s">
        <v>1090</v>
      </c>
      <c r="B5" s="598">
        <f>'[1]co- funding'!B14</f>
        <v>522166000</v>
      </c>
      <c r="C5" s="598">
        <f>'[1]co- funding'!C14</f>
        <v>289703000</v>
      </c>
      <c r="D5" s="597">
        <f t="shared" si="0"/>
        <v>232463000</v>
      </c>
      <c r="E5" s="706"/>
      <c r="F5" s="704">
        <f t="shared" si="1"/>
        <v>232463000</v>
      </c>
    </row>
    <row r="6" spans="1:6">
      <c r="A6" s="454" t="s">
        <v>1091</v>
      </c>
      <c r="B6" s="598">
        <v>20000000</v>
      </c>
      <c r="C6" s="598">
        <v>14683180</v>
      </c>
      <c r="D6" s="597">
        <f t="shared" si="0"/>
        <v>5316820</v>
      </c>
      <c r="E6" s="706"/>
      <c r="F6" s="704">
        <f t="shared" si="1"/>
        <v>5316820</v>
      </c>
    </row>
    <row r="7" spans="1:6">
      <c r="A7" s="454" t="s">
        <v>1076</v>
      </c>
      <c r="B7" s="598">
        <v>398000000</v>
      </c>
      <c r="C7" s="598">
        <v>340000000</v>
      </c>
      <c r="D7" s="597">
        <f t="shared" si="0"/>
        <v>58000000</v>
      </c>
      <c r="E7" s="707"/>
      <c r="F7" s="704">
        <f t="shared" si="1"/>
        <v>58000000</v>
      </c>
    </row>
    <row r="8" spans="1:6">
      <c r="A8" s="454" t="s">
        <v>1092</v>
      </c>
      <c r="B8" s="598">
        <f>315000000</f>
        <v>315000000</v>
      </c>
      <c r="C8" s="598">
        <v>0</v>
      </c>
      <c r="D8" s="597">
        <f t="shared" si="0"/>
        <v>315000000</v>
      </c>
      <c r="E8" s="706">
        <v>180000000</v>
      </c>
      <c r="F8" s="704">
        <f t="shared" si="1"/>
        <v>135000000</v>
      </c>
    </row>
    <row r="9" spans="1:6">
      <c r="A9" s="454" t="s">
        <v>1093</v>
      </c>
      <c r="B9" s="598">
        <v>297000000</v>
      </c>
      <c r="C9" s="599">
        <v>184500000</v>
      </c>
      <c r="D9" s="597">
        <f t="shared" si="0"/>
        <v>112500000</v>
      </c>
      <c r="E9" s="706"/>
      <c r="F9" s="704">
        <f t="shared" si="1"/>
        <v>112500000</v>
      </c>
    </row>
    <row r="10" spans="1:6">
      <c r="A10" s="454" t="s">
        <v>1094</v>
      </c>
      <c r="B10" s="598">
        <v>75000000</v>
      </c>
      <c r="C10" s="598">
        <v>25000000</v>
      </c>
      <c r="D10" s="597">
        <f t="shared" si="0"/>
        <v>50000000</v>
      </c>
      <c r="E10" s="705">
        <f>B10-C10</f>
        <v>50000000</v>
      </c>
      <c r="F10" s="704">
        <f t="shared" si="1"/>
        <v>0</v>
      </c>
    </row>
    <row r="11" spans="1:6">
      <c r="A11" s="454" t="s">
        <v>1175</v>
      </c>
      <c r="B11" s="598">
        <v>1327500000.0000002</v>
      </c>
      <c r="C11" s="598">
        <v>900000000</v>
      </c>
      <c r="D11" s="597">
        <f t="shared" si="0"/>
        <v>427500000.00000024</v>
      </c>
      <c r="E11" s="705">
        <v>427500000</v>
      </c>
      <c r="F11" s="704">
        <f t="shared" si="1"/>
        <v>0</v>
      </c>
    </row>
    <row r="12" spans="1:6">
      <c r="A12" s="454" t="s">
        <v>1095</v>
      </c>
      <c r="B12" s="598">
        <v>49000000</v>
      </c>
      <c r="C12" s="598">
        <v>0</v>
      </c>
      <c r="D12" s="597">
        <f t="shared" si="0"/>
        <v>49000000</v>
      </c>
      <c r="E12" s="705">
        <f>B12-C12</f>
        <v>49000000</v>
      </c>
      <c r="F12" s="704">
        <f t="shared" si="1"/>
        <v>0</v>
      </c>
    </row>
    <row r="13" spans="1:6">
      <c r="A13" s="454" t="s">
        <v>1096</v>
      </c>
      <c r="B13" s="598">
        <v>751701043.28000009</v>
      </c>
      <c r="C13" s="598">
        <v>100000000</v>
      </c>
      <c r="D13" s="600">
        <v>651701043.28000009</v>
      </c>
      <c r="E13" s="706"/>
      <c r="F13" s="704">
        <f t="shared" si="1"/>
        <v>651701043.28000009</v>
      </c>
    </row>
    <row r="14" spans="1:6">
      <c r="A14" s="454" t="s">
        <v>372</v>
      </c>
      <c r="B14" s="598">
        <v>2096801893.1900001</v>
      </c>
      <c r="C14" s="598">
        <v>421000000</v>
      </c>
      <c r="D14" s="600">
        <v>1675801893.1900001</v>
      </c>
      <c r="E14" s="706"/>
      <c r="F14" s="704">
        <f t="shared" si="1"/>
        <v>1675801893.1900001</v>
      </c>
    </row>
    <row r="15" spans="1:6" s="457" customFormat="1">
      <c r="A15" s="456" t="s">
        <v>825</v>
      </c>
      <c r="B15" s="601">
        <f>SUM(B3:B14)</f>
        <v>14688122117.470001</v>
      </c>
      <c r="C15" s="601">
        <f t="shared" ref="C15:F15" si="2">SUM(C3:C14)</f>
        <v>9196718700</v>
      </c>
      <c r="D15" s="601">
        <f t="shared" si="2"/>
        <v>5476583624.4700003</v>
      </c>
      <c r="E15" s="708">
        <f t="shared" si="2"/>
        <v>1465001137.5783348</v>
      </c>
      <c r="F15" s="708">
        <f t="shared" si="2"/>
        <v>4011582486.8916655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opLeftCell="A21" workbookViewId="0">
      <selection activeCell="D32" sqref="D32"/>
    </sheetView>
  </sheetViews>
  <sheetFormatPr defaultColWidth="9.08984375" defaultRowHeight="15.5"/>
  <cols>
    <col min="1" max="1" width="37.6328125" style="498" customWidth="1"/>
    <col min="2" max="2" width="26.90625" style="647" customWidth="1"/>
    <col min="3" max="3" width="22.81640625" style="647" customWidth="1"/>
    <col min="4" max="4" width="23.90625" style="647" customWidth="1"/>
    <col min="5" max="5" width="8.984375E-2" style="649" customWidth="1"/>
    <col min="6" max="6" width="20.08984375" style="649" customWidth="1"/>
    <col min="7" max="7" width="16" style="650" customWidth="1"/>
    <col min="8" max="16384" width="9.08984375" style="650"/>
  </cols>
  <sheetData>
    <row r="1" spans="1:6">
      <c r="A1" s="603"/>
      <c r="E1" s="648"/>
    </row>
    <row r="2" spans="1:6" s="653" customFormat="1">
      <c r="A2" s="518" t="s">
        <v>870</v>
      </c>
      <c r="B2" s="651" t="s">
        <v>895</v>
      </c>
      <c r="C2" s="651" t="s">
        <v>372</v>
      </c>
      <c r="D2" s="651" t="s">
        <v>825</v>
      </c>
      <c r="E2" s="652"/>
      <c r="F2" s="652"/>
    </row>
    <row r="3" spans="1:6" ht="16" thickBot="1">
      <c r="A3" s="657" t="s">
        <v>871</v>
      </c>
      <c r="B3" s="658">
        <f>Agriculture.!B407</f>
        <v>59567037</v>
      </c>
      <c r="C3" s="658">
        <f>'Economic Class'!J3</f>
        <v>465187389.85480028</v>
      </c>
      <c r="D3" s="658">
        <f>B3+C3</f>
        <v>524754426.85480028</v>
      </c>
      <c r="E3" s="644">
        <v>572269579</v>
      </c>
      <c r="F3" s="648">
        <f>D3-E3</f>
        <v>-47515152.145199716</v>
      </c>
    </row>
    <row r="4" spans="1:6" ht="16" thickBot="1">
      <c r="A4" s="657" t="s">
        <v>872</v>
      </c>
      <c r="B4" s="658">
        <f>'Tourism- Water'!B50</f>
        <v>364439773.60000002</v>
      </c>
      <c r="C4" s="658">
        <f>'Economic Class'!J4</f>
        <v>399326569</v>
      </c>
      <c r="D4" s="658">
        <f t="shared" ref="D4:D31" si="0">B4+C4</f>
        <v>763766342.60000002</v>
      </c>
      <c r="E4" s="644">
        <v>763766343</v>
      </c>
      <c r="F4" s="648">
        <f t="shared" ref="F4:F32" si="1">D4-E4</f>
        <v>-0.39999997615814209</v>
      </c>
    </row>
    <row r="5" spans="1:6" ht="16" thickBot="1">
      <c r="A5" s="657" t="s">
        <v>873</v>
      </c>
      <c r="B5" s="658">
        <f>'Tourism- Water'!B106</f>
        <v>45315674</v>
      </c>
      <c r="C5" s="658">
        <f>'Economic Class'!J5</f>
        <v>668786204.00586116</v>
      </c>
      <c r="D5" s="658">
        <f t="shared" si="0"/>
        <v>714101878.00586116</v>
      </c>
      <c r="E5" s="644">
        <v>718544111</v>
      </c>
      <c r="F5" s="648">
        <f t="shared" si="1"/>
        <v>-4442232.9941388369</v>
      </c>
    </row>
    <row r="6" spans="1:6" ht="16" thickBot="1">
      <c r="A6" s="657" t="s">
        <v>874</v>
      </c>
      <c r="B6" s="658">
        <f>Road!B56</f>
        <v>32030716.039999999</v>
      </c>
      <c r="C6" s="658">
        <f>'Economic Class'!J6</f>
        <v>897204442.25928175</v>
      </c>
      <c r="D6" s="658">
        <f t="shared" si="0"/>
        <v>929235158.29928172</v>
      </c>
      <c r="E6" s="644">
        <v>929235158</v>
      </c>
      <c r="F6" s="648">
        <f t="shared" si="1"/>
        <v>0.29928171634674072</v>
      </c>
    </row>
    <row r="7" spans="1:6" ht="16" thickBot="1">
      <c r="A7" s="657" t="s">
        <v>875</v>
      </c>
      <c r="B7" s="658">
        <f>Education!B34+Education!B66</f>
        <v>66945953</v>
      </c>
      <c r="C7" s="658">
        <f>'Economic Class'!J7</f>
        <v>293667104.01224202</v>
      </c>
      <c r="D7" s="658">
        <f t="shared" si="0"/>
        <v>360613057.01224202</v>
      </c>
      <c r="E7" s="644">
        <v>369403039</v>
      </c>
      <c r="F7" s="648">
        <f t="shared" si="1"/>
        <v>-8789981.9877579808</v>
      </c>
    </row>
    <row r="8" spans="1:6" ht="16" thickBot="1">
      <c r="A8" s="657" t="s">
        <v>822</v>
      </c>
      <c r="B8" s="658">
        <f>'Health-sanitation'!B84</f>
        <v>292392493</v>
      </c>
      <c r="C8" s="658">
        <f>'Economic Class'!J8</f>
        <v>533000782.94443226</v>
      </c>
      <c r="D8" s="658">
        <f t="shared" si="0"/>
        <v>825393275.94443226</v>
      </c>
      <c r="E8" s="644">
        <v>783471159</v>
      </c>
      <c r="F8" s="648">
        <f t="shared" si="1"/>
        <v>41922116.944432259</v>
      </c>
    </row>
    <row r="9" spans="1:6" ht="16" thickBot="1">
      <c r="A9" s="657" t="s">
        <v>876</v>
      </c>
      <c r="B9" s="658">
        <f>'Health-sanitation'!B1275-250000000</f>
        <v>1109823523.8497469</v>
      </c>
      <c r="C9" s="658">
        <f>'Economic Class'!J9</f>
        <v>250000000</v>
      </c>
      <c r="D9" s="658">
        <f t="shared" si="0"/>
        <v>1359823523.8497469</v>
      </c>
      <c r="E9" s="644">
        <v>1359823524</v>
      </c>
      <c r="F9" s="648">
        <f t="shared" si="1"/>
        <v>-0.1502530574798584</v>
      </c>
    </row>
    <row r="10" spans="1:6" ht="16" thickBot="1">
      <c r="A10" s="657" t="s">
        <v>592</v>
      </c>
      <c r="B10" s="658">
        <f>'Health-sanitation'!B123</f>
        <v>1368943.2320000001</v>
      </c>
      <c r="C10" s="658">
        <f>'Economic Class'!J10</f>
        <v>0</v>
      </c>
      <c r="D10" s="658">
        <f t="shared" si="0"/>
        <v>1368943.2320000001</v>
      </c>
      <c r="E10" s="644">
        <v>1368943</v>
      </c>
      <c r="F10" s="648">
        <f t="shared" si="1"/>
        <v>0.23200000007636845</v>
      </c>
    </row>
    <row r="11" spans="1:6" ht="16" thickBot="1">
      <c r="A11" s="657" t="s">
        <v>410</v>
      </c>
      <c r="B11" s="658">
        <f>Trade!B57</f>
        <v>20318248</v>
      </c>
      <c r="C11" s="658">
        <f>'Economic Class'!J11</f>
        <v>153534547.46737602</v>
      </c>
      <c r="D11" s="658">
        <f t="shared" si="0"/>
        <v>173852795.46737602</v>
      </c>
      <c r="E11" s="644">
        <v>163852795</v>
      </c>
      <c r="F11" s="648">
        <f t="shared" si="1"/>
        <v>10000000.467376024</v>
      </c>
    </row>
    <row r="12" spans="1:6" ht="16" thickBot="1">
      <c r="A12" s="91" t="s">
        <v>877</v>
      </c>
      <c r="B12" s="654">
        <f>Trade!B56</f>
        <v>0</v>
      </c>
      <c r="C12" s="654">
        <f>'Economic Class'!J12</f>
        <v>0</v>
      </c>
      <c r="D12" s="654">
        <f t="shared" si="0"/>
        <v>0</v>
      </c>
      <c r="E12" s="645" t="s">
        <v>1198</v>
      </c>
      <c r="F12" s="648" t="e">
        <f t="shared" si="1"/>
        <v>#VALUE!</v>
      </c>
    </row>
    <row r="13" spans="1:6" ht="16" thickBot="1">
      <c r="A13" s="91" t="s">
        <v>878</v>
      </c>
      <c r="B13" s="654">
        <f>Trade!B121</f>
        <v>22483026</v>
      </c>
      <c r="C13" s="654">
        <f>'Economic Class'!J13</f>
        <v>9797679</v>
      </c>
      <c r="D13" s="654">
        <f t="shared" si="0"/>
        <v>32280705</v>
      </c>
      <c r="E13" s="644">
        <v>32280705</v>
      </c>
      <c r="F13" s="648">
        <f t="shared" si="1"/>
        <v>0</v>
      </c>
    </row>
    <row r="14" spans="1:6" ht="16" thickBot="1">
      <c r="A14" s="91" t="s">
        <v>420</v>
      </c>
      <c r="B14" s="654">
        <f>Trade!B182</f>
        <v>15615620</v>
      </c>
      <c r="C14" s="654">
        <f>'Economic Class'!J14</f>
        <v>40000000</v>
      </c>
      <c r="D14" s="654">
        <f t="shared" si="0"/>
        <v>55615620</v>
      </c>
      <c r="E14" s="644">
        <v>55615620</v>
      </c>
      <c r="F14" s="648">
        <f t="shared" si="1"/>
        <v>0</v>
      </c>
    </row>
    <row r="15" spans="1:6" ht="16" thickBot="1">
      <c r="A15" s="91" t="s">
        <v>879</v>
      </c>
      <c r="B15" s="654">
        <f>Lands!B55</f>
        <v>21815312</v>
      </c>
      <c r="C15" s="654">
        <f>'Economic Class'!J15</f>
        <v>125713847.45771332</v>
      </c>
      <c r="D15" s="654">
        <f t="shared" si="0"/>
        <v>147529159.45771331</v>
      </c>
      <c r="E15" s="644">
        <v>147529159</v>
      </c>
      <c r="F15" s="648">
        <f t="shared" si="1"/>
        <v>0.45771330595016479</v>
      </c>
    </row>
    <row r="16" spans="1:6" ht="16" thickBot="1">
      <c r="A16" s="91" t="s">
        <v>824</v>
      </c>
      <c r="B16" s="654">
        <f>Lands!B113</f>
        <v>57126098</v>
      </c>
      <c r="C16" s="654">
        <f>'Economic Class'!J16</f>
        <v>355758177</v>
      </c>
      <c r="D16" s="654">
        <f t="shared" si="0"/>
        <v>412884275</v>
      </c>
      <c r="E16" s="644">
        <v>412884275</v>
      </c>
      <c r="F16" s="648">
        <f t="shared" si="1"/>
        <v>0</v>
      </c>
    </row>
    <row r="17" spans="1:7" ht="16" thickBot="1">
      <c r="A17" s="91" t="s">
        <v>880</v>
      </c>
      <c r="B17" s="654">
        <f>Lands!B180</f>
        <v>47998371</v>
      </c>
      <c r="C17" s="654">
        <f>'Economic Class'!J17</f>
        <v>82392027</v>
      </c>
      <c r="D17" s="654">
        <f t="shared" si="0"/>
        <v>130390398</v>
      </c>
      <c r="E17" s="644">
        <v>130390398</v>
      </c>
      <c r="F17" s="648">
        <f t="shared" si="1"/>
        <v>0</v>
      </c>
    </row>
    <row r="18" spans="1:7" ht="16" thickBot="1">
      <c r="A18" s="657" t="s">
        <v>881</v>
      </c>
      <c r="B18" s="658">
        <f>Lands!B241</f>
        <v>53529402.600000001</v>
      </c>
      <c r="C18" s="658">
        <f>'Economic Class'!J18</f>
        <v>66613831</v>
      </c>
      <c r="D18" s="658">
        <f t="shared" si="0"/>
        <v>120143233.59999999</v>
      </c>
      <c r="E18" s="644">
        <v>120143234</v>
      </c>
      <c r="F18" s="648">
        <f t="shared" si="1"/>
        <v>-0.40000000596046448</v>
      </c>
    </row>
    <row r="19" spans="1:7" ht="16" thickBot="1">
      <c r="A19" s="657" t="s">
        <v>882</v>
      </c>
      <c r="B19" s="658">
        <f>'Gender and Culture'!C56</f>
        <v>41276524</v>
      </c>
      <c r="C19" s="658">
        <f>'Economic Class'!J19</f>
        <v>9398503.6482932121</v>
      </c>
      <c r="D19" s="658">
        <f t="shared" si="0"/>
        <v>50675027.648293212</v>
      </c>
      <c r="E19" s="644">
        <v>50675028</v>
      </c>
      <c r="F19" s="648">
        <f t="shared" si="1"/>
        <v>-0.35170678794384003</v>
      </c>
    </row>
    <row r="20" spans="1:7" ht="16" thickBot="1">
      <c r="A20" s="657" t="s">
        <v>855</v>
      </c>
      <c r="B20" s="658"/>
      <c r="C20" s="658">
        <f>'Economic Class'!J20</f>
        <v>0</v>
      </c>
      <c r="D20" s="658">
        <f t="shared" si="0"/>
        <v>0</v>
      </c>
      <c r="E20" s="645" t="s">
        <v>1198</v>
      </c>
      <c r="F20" s="648" t="e">
        <f t="shared" si="1"/>
        <v>#VALUE!</v>
      </c>
    </row>
    <row r="21" spans="1:7" ht="16" thickBot="1">
      <c r="A21" s="657" t="s">
        <v>883</v>
      </c>
      <c r="B21" s="658"/>
      <c r="C21" s="658">
        <f>'Economic Class'!J21</f>
        <v>0</v>
      </c>
      <c r="D21" s="658">
        <f t="shared" si="0"/>
        <v>0</v>
      </c>
      <c r="E21" s="645" t="s">
        <v>1198</v>
      </c>
      <c r="F21" s="648" t="e">
        <f t="shared" si="1"/>
        <v>#VALUE!</v>
      </c>
    </row>
    <row r="22" spans="1:7" ht="16" thickBot="1">
      <c r="A22" s="657" t="s">
        <v>884</v>
      </c>
      <c r="B22" s="658">
        <f>'Gender and Culture'!C127</f>
        <v>37492241</v>
      </c>
      <c r="C22" s="658">
        <f>'Gender and Culture'!C141</f>
        <v>28235369</v>
      </c>
      <c r="D22" s="658">
        <f t="shared" si="0"/>
        <v>65727610</v>
      </c>
      <c r="E22" s="644">
        <v>47492241</v>
      </c>
      <c r="F22" s="648">
        <f t="shared" si="1"/>
        <v>18235369</v>
      </c>
    </row>
    <row r="23" spans="1:7" ht="16" thickBot="1">
      <c r="A23" s="657" t="s">
        <v>857</v>
      </c>
      <c r="B23" s="658"/>
      <c r="C23" s="658"/>
      <c r="D23" s="658">
        <f t="shared" si="0"/>
        <v>0</v>
      </c>
      <c r="E23" s="644">
        <v>28235369</v>
      </c>
      <c r="F23" s="648">
        <f t="shared" si="1"/>
        <v>-28235369</v>
      </c>
    </row>
    <row r="24" spans="1:7" ht="16" thickBot="1">
      <c r="A24" s="657" t="s">
        <v>885</v>
      </c>
      <c r="B24" s="659">
        <v>966961439</v>
      </c>
      <c r="C24" s="658">
        <f>'Economic Class'!J24</f>
        <v>199500000</v>
      </c>
      <c r="D24" s="658">
        <f t="shared" si="0"/>
        <v>1166461439</v>
      </c>
      <c r="E24" s="644">
        <v>1165961439</v>
      </c>
      <c r="F24" s="648">
        <f t="shared" si="1"/>
        <v>500000</v>
      </c>
    </row>
    <row r="25" spans="1:7" ht="16" thickBot="1">
      <c r="A25" s="657" t="s">
        <v>886</v>
      </c>
      <c r="B25" s="658">
        <f>Finance!C351</f>
        <v>274174197</v>
      </c>
      <c r="C25" s="658">
        <f>'Economic Class'!J25</f>
        <v>231000000</v>
      </c>
      <c r="D25" s="658">
        <f t="shared" si="0"/>
        <v>505174197</v>
      </c>
      <c r="E25" s="644">
        <v>498871167</v>
      </c>
      <c r="F25" s="648">
        <f t="shared" si="1"/>
        <v>6303030</v>
      </c>
    </row>
    <row r="26" spans="1:7" ht="16" thickBot="1">
      <c r="A26" s="657" t="s">
        <v>887</v>
      </c>
      <c r="B26" s="658">
        <f>CPSB!B40</f>
        <v>40686784</v>
      </c>
      <c r="C26" s="658">
        <f>'Economic Class'!J26</f>
        <v>13232215</v>
      </c>
      <c r="D26" s="658">
        <f t="shared" si="0"/>
        <v>53918999</v>
      </c>
      <c r="E26" s="644">
        <v>40686784</v>
      </c>
      <c r="F26" s="648">
        <f t="shared" si="1"/>
        <v>13232215</v>
      </c>
    </row>
    <row r="27" spans="1:7" ht="16" thickBot="1">
      <c r="A27" s="657" t="s">
        <v>888</v>
      </c>
      <c r="B27" s="658">
        <f>Gov!B72+Gov!B93+Gov!B127</f>
        <v>177205250</v>
      </c>
      <c r="C27" s="658">
        <f>'Economic Class'!J27</f>
        <v>0</v>
      </c>
      <c r="D27" s="658">
        <f t="shared" si="0"/>
        <v>177205250</v>
      </c>
      <c r="E27" s="644">
        <v>177205250</v>
      </c>
      <c r="F27" s="648">
        <f t="shared" si="1"/>
        <v>0</v>
      </c>
    </row>
    <row r="28" spans="1:7" ht="16" thickBot="1">
      <c r="A28" s="657" t="s">
        <v>889</v>
      </c>
      <c r="B28" s="658">
        <f>Gov!B183</f>
        <v>40408450</v>
      </c>
      <c r="C28" s="658">
        <f>'Economic Class'!J28</f>
        <v>0</v>
      </c>
      <c r="D28" s="658">
        <f t="shared" si="0"/>
        <v>40408450</v>
      </c>
      <c r="E28" s="644">
        <v>40408450</v>
      </c>
      <c r="F28" s="648">
        <f t="shared" si="1"/>
        <v>0</v>
      </c>
    </row>
    <row r="29" spans="1:7" ht="16" thickBot="1">
      <c r="A29" s="657" t="s">
        <v>890</v>
      </c>
      <c r="B29" s="658">
        <f>'P Admin'!B84+'P Admin'!B122</f>
        <v>562148857</v>
      </c>
      <c r="C29" s="658">
        <f>'Economic Class'!J29</f>
        <v>352500000</v>
      </c>
      <c r="D29" s="658">
        <f t="shared" si="0"/>
        <v>914648857</v>
      </c>
      <c r="E29" s="644">
        <v>914648857</v>
      </c>
      <c r="F29" s="648">
        <f t="shared" si="1"/>
        <v>0</v>
      </c>
    </row>
    <row r="30" spans="1:7" ht="16" thickBot="1">
      <c r="A30" s="657" t="s">
        <v>891</v>
      </c>
      <c r="B30" s="658">
        <f>'P Admin'!B133</f>
        <v>8472553</v>
      </c>
      <c r="C30" s="658">
        <f>'Economic Class'!J30</f>
        <v>0</v>
      </c>
      <c r="D30" s="658">
        <f t="shared" si="0"/>
        <v>8472553</v>
      </c>
      <c r="E30" s="644">
        <v>8472553</v>
      </c>
      <c r="F30" s="648">
        <f t="shared" si="1"/>
        <v>0</v>
      </c>
      <c r="G30" s="663">
        <v>23212889</v>
      </c>
    </row>
    <row r="31" spans="1:7" ht="16" thickBot="1">
      <c r="A31" s="657" t="s">
        <v>892</v>
      </c>
      <c r="B31" s="658">
        <f>'P Admin'!B220+'P Admin'!B232+'P Admin'!B243+'P Admin'!B312</f>
        <v>7375348565.0046644</v>
      </c>
      <c r="C31" s="658">
        <f>'Economic Class'!J31</f>
        <v>0</v>
      </c>
      <c r="D31" s="658">
        <f t="shared" si="0"/>
        <v>7375348565.0046644</v>
      </c>
      <c r="E31" s="644">
        <v>7375348565</v>
      </c>
      <c r="F31" s="648">
        <f t="shared" si="1"/>
        <v>4.6644210815429688E-3</v>
      </c>
    </row>
    <row r="32" spans="1:7" s="653" customFormat="1" ht="16" thickBot="1">
      <c r="A32" s="660" t="s">
        <v>893</v>
      </c>
      <c r="B32" s="661">
        <f>SUM(B3:B31)</f>
        <v>11734945051.326412</v>
      </c>
      <c r="C32" s="661">
        <f>'Economic Class'!J32</f>
        <v>5174848688.6500006</v>
      </c>
      <c r="D32" s="661">
        <f t="shared" ref="D32" si="2">SUM(D3:D31)</f>
        <v>16909793739.976414</v>
      </c>
      <c r="E32" s="646">
        <v>16908583745</v>
      </c>
      <c r="F32" s="648">
        <f t="shared" si="1"/>
        <v>1209994.9764137268</v>
      </c>
    </row>
    <row r="33" spans="1:6" s="653" customFormat="1">
      <c r="A33" s="660" t="s">
        <v>894</v>
      </c>
      <c r="B33" s="662">
        <f>B32/$D$32</f>
        <v>0.69397328150631721</v>
      </c>
      <c r="C33" s="662">
        <f t="shared" ref="C33:D33" si="3">C32/$D$32</f>
        <v>0.30602671849368274</v>
      </c>
      <c r="D33" s="662">
        <f t="shared" si="3"/>
        <v>1</v>
      </c>
      <c r="E33" s="652"/>
      <c r="F33" s="655"/>
    </row>
    <row r="34" spans="1:6">
      <c r="A34" s="609"/>
    </row>
    <row r="35" spans="1:6" s="649" customFormat="1">
      <c r="A35" s="630"/>
      <c r="B35" s="663">
        <f>E32-D24</f>
        <v>15742122306</v>
      </c>
      <c r="C35" s="663"/>
      <c r="D35" s="663"/>
      <c r="E35" s="656">
        <f>131000000/D32</f>
        <v>7.746989822253309E-3</v>
      </c>
    </row>
    <row r="36" spans="1:6" s="666" customFormat="1">
      <c r="A36" s="664"/>
      <c r="B36" s="665"/>
      <c r="C36" s="665"/>
      <c r="D36" s="665">
        <f>45+29</f>
        <v>74</v>
      </c>
    </row>
    <row r="37" spans="1:6" s="666" customFormat="1">
      <c r="A37" s="664"/>
      <c r="B37" s="665"/>
      <c r="C37" s="665"/>
      <c r="D37" s="665"/>
    </row>
    <row r="38" spans="1:6" s="666" customFormat="1">
      <c r="A38" s="664"/>
      <c r="B38" s="665"/>
      <c r="C38" s="665"/>
      <c r="D38" s="665"/>
    </row>
    <row r="39" spans="1:6" s="666" customFormat="1">
      <c r="A39" s="667" t="s">
        <v>900</v>
      </c>
      <c r="B39" s="667" t="s">
        <v>1086</v>
      </c>
      <c r="C39" s="667" t="s">
        <v>1178</v>
      </c>
      <c r="D39" s="667" t="s">
        <v>1179</v>
      </c>
      <c r="E39" s="667" t="s">
        <v>1180</v>
      </c>
    </row>
    <row r="40" spans="1:6" s="666" customFormat="1">
      <c r="A40" s="668" t="s">
        <v>871</v>
      </c>
      <c r="B40" s="669">
        <v>73561325</v>
      </c>
      <c r="C40" s="669">
        <v>-11034199</v>
      </c>
      <c r="D40" s="669">
        <v>62527126</v>
      </c>
      <c r="E40" s="670">
        <v>-0.15</v>
      </c>
    </row>
    <row r="41" spans="1:6" s="666" customFormat="1">
      <c r="A41" s="668" t="s">
        <v>1181</v>
      </c>
      <c r="B41" s="669">
        <v>364439774</v>
      </c>
      <c r="C41" s="669">
        <v>-54665966</v>
      </c>
      <c r="D41" s="669">
        <v>309773808</v>
      </c>
      <c r="E41" s="670">
        <v>-0.15</v>
      </c>
    </row>
    <row r="42" spans="1:6" s="666" customFormat="1">
      <c r="A42" s="668" t="s">
        <v>873</v>
      </c>
      <c r="B42" s="669">
        <v>45315674</v>
      </c>
      <c r="C42" s="669">
        <v>-6797351</v>
      </c>
      <c r="D42" s="669">
        <v>38518323</v>
      </c>
      <c r="E42" s="670">
        <v>-0.15</v>
      </c>
    </row>
    <row r="43" spans="1:6" s="666" customFormat="1">
      <c r="A43" s="668" t="s">
        <v>874</v>
      </c>
      <c r="B43" s="669">
        <v>32030716</v>
      </c>
      <c r="C43" s="669">
        <v>-4804607</v>
      </c>
      <c r="D43" s="669">
        <v>27226109</v>
      </c>
      <c r="E43" s="670">
        <v>-0.15</v>
      </c>
    </row>
    <row r="44" spans="1:6" s="666" customFormat="1">
      <c r="A44" s="668" t="s">
        <v>875</v>
      </c>
      <c r="B44" s="669">
        <v>75495953</v>
      </c>
      <c r="C44" s="669">
        <v>-11324393</v>
      </c>
      <c r="D44" s="669">
        <v>64171560</v>
      </c>
      <c r="E44" s="670">
        <v>-0.15</v>
      </c>
    </row>
    <row r="45" spans="1:6" s="666" customFormat="1">
      <c r="A45" s="668" t="s">
        <v>822</v>
      </c>
      <c r="B45" s="669">
        <v>235212277</v>
      </c>
      <c r="C45" s="669">
        <v>-35281842</v>
      </c>
      <c r="D45" s="669">
        <v>199930435</v>
      </c>
      <c r="E45" s="670">
        <v>-0.15</v>
      </c>
    </row>
    <row r="46" spans="1:6" s="666" customFormat="1">
      <c r="A46" s="668" t="s">
        <v>592</v>
      </c>
      <c r="B46" s="669">
        <v>1368943</v>
      </c>
      <c r="C46" s="669">
        <v>-205341</v>
      </c>
      <c r="D46" s="669">
        <v>1163602</v>
      </c>
      <c r="E46" s="670">
        <v>-0.15</v>
      </c>
    </row>
    <row r="47" spans="1:6" s="666" customFormat="1">
      <c r="A47" s="668" t="s">
        <v>1182</v>
      </c>
      <c r="B47" s="669">
        <v>68411894</v>
      </c>
      <c r="C47" s="669">
        <v>-10261784</v>
      </c>
      <c r="D47" s="669">
        <v>58150110</v>
      </c>
      <c r="E47" s="670">
        <v>-0.15</v>
      </c>
    </row>
    <row r="48" spans="1:6" s="666" customFormat="1">
      <c r="A48" s="668" t="s">
        <v>879</v>
      </c>
      <c r="B48" s="669">
        <v>21820312</v>
      </c>
      <c r="C48" s="669">
        <v>-3273047</v>
      </c>
      <c r="D48" s="669">
        <v>18547265</v>
      </c>
      <c r="E48" s="670">
        <v>-0.15</v>
      </c>
    </row>
    <row r="49" spans="1:5" s="666" customFormat="1">
      <c r="A49" s="668" t="s">
        <v>824</v>
      </c>
      <c r="B49" s="669">
        <v>57126098</v>
      </c>
      <c r="C49" s="669">
        <v>-8568915</v>
      </c>
      <c r="D49" s="669">
        <v>48557183</v>
      </c>
      <c r="E49" s="670">
        <v>-0.15</v>
      </c>
    </row>
    <row r="50" spans="1:5" s="666" customFormat="1">
      <c r="A50" s="668" t="s">
        <v>880</v>
      </c>
      <c r="B50" s="669">
        <v>47998371</v>
      </c>
      <c r="C50" s="669">
        <v>-7199756</v>
      </c>
      <c r="D50" s="669">
        <v>40798615</v>
      </c>
      <c r="E50" s="670">
        <v>-0.15</v>
      </c>
    </row>
    <row r="51" spans="1:5" s="666" customFormat="1">
      <c r="A51" s="668" t="s">
        <v>881</v>
      </c>
      <c r="B51" s="669">
        <v>45340318</v>
      </c>
      <c r="C51" s="669">
        <v>-6801048</v>
      </c>
      <c r="D51" s="669">
        <v>38539270</v>
      </c>
      <c r="E51" s="670">
        <v>-0.15</v>
      </c>
    </row>
    <row r="52" spans="1:5" s="666" customFormat="1">
      <c r="A52" s="668" t="s">
        <v>882</v>
      </c>
      <c r="B52" s="669">
        <v>41276524</v>
      </c>
      <c r="C52" s="669">
        <v>-6191479</v>
      </c>
      <c r="D52" s="669">
        <v>35085045</v>
      </c>
      <c r="E52" s="670">
        <v>-0.15</v>
      </c>
    </row>
    <row r="53" spans="1:5" s="666" customFormat="1">
      <c r="A53" s="668" t="s">
        <v>884</v>
      </c>
      <c r="B53" s="669">
        <v>55492241</v>
      </c>
      <c r="C53" s="669">
        <v>-8323836</v>
      </c>
      <c r="D53" s="669">
        <v>47168405</v>
      </c>
      <c r="E53" s="670">
        <v>-0.15</v>
      </c>
    </row>
    <row r="54" spans="1:5" s="666" customFormat="1">
      <c r="A54" s="668" t="s">
        <v>886</v>
      </c>
      <c r="B54" s="669">
        <v>278788236</v>
      </c>
      <c r="C54" s="669">
        <v>-41818235</v>
      </c>
      <c r="D54" s="669">
        <v>236970001</v>
      </c>
      <c r="E54" s="670">
        <v>-0.15</v>
      </c>
    </row>
    <row r="55" spans="1:5" s="666" customFormat="1">
      <c r="A55" s="668" t="s">
        <v>887</v>
      </c>
      <c r="B55" s="669">
        <v>40686784</v>
      </c>
      <c r="C55" s="669">
        <v>-6103018</v>
      </c>
      <c r="D55" s="669">
        <v>34583766</v>
      </c>
      <c r="E55" s="670">
        <v>-0.15</v>
      </c>
    </row>
    <row r="56" spans="1:5" s="666" customFormat="1">
      <c r="A56" s="668" t="s">
        <v>1183</v>
      </c>
      <c r="B56" s="669">
        <v>158495597</v>
      </c>
      <c r="C56" s="669">
        <v>-23774430</v>
      </c>
      <c r="D56" s="669">
        <v>134721167</v>
      </c>
      <c r="E56" s="670">
        <v>-0.15</v>
      </c>
    </row>
    <row r="57" spans="1:5" s="666" customFormat="1">
      <c r="A57" s="668" t="s">
        <v>891</v>
      </c>
      <c r="B57" s="669">
        <v>8472553</v>
      </c>
      <c r="C57" s="669">
        <v>-1270883</v>
      </c>
      <c r="D57" s="669">
        <v>7201670</v>
      </c>
      <c r="E57" s="670">
        <v>-0.15</v>
      </c>
    </row>
    <row r="58" spans="1:5" s="666" customFormat="1">
      <c r="A58" s="668" t="s">
        <v>892</v>
      </c>
      <c r="B58" s="669">
        <v>25802018</v>
      </c>
      <c r="C58" s="669">
        <v>-15026713</v>
      </c>
      <c r="D58" s="669">
        <v>10775305</v>
      </c>
      <c r="E58" s="670">
        <v>-0.57999999999999996</v>
      </c>
    </row>
    <row r="59" spans="1:5" s="666" customFormat="1">
      <c r="A59" s="668" t="s">
        <v>1184</v>
      </c>
      <c r="B59" s="669">
        <v>23212889</v>
      </c>
      <c r="C59" s="669">
        <v>-3481933</v>
      </c>
      <c r="D59" s="669">
        <v>19730956</v>
      </c>
      <c r="E59" s="670">
        <v>-0.15</v>
      </c>
    </row>
    <row r="60" spans="1:5" s="666" customFormat="1">
      <c r="A60" s="667" t="s">
        <v>825</v>
      </c>
      <c r="B60" s="671"/>
      <c r="C60" s="671">
        <v>-266208776</v>
      </c>
      <c r="D60" s="671">
        <v>1434139721</v>
      </c>
      <c r="E60" s="670">
        <v>-0.16</v>
      </c>
    </row>
    <row r="61" spans="1:5" s="666" customFormat="1">
      <c r="A61" s="664"/>
      <c r="B61" s="665"/>
      <c r="C61" s="665"/>
      <c r="D61" s="665"/>
    </row>
    <row r="62" spans="1:5" s="666" customFormat="1">
      <c r="A62" s="664"/>
      <c r="B62" s="665"/>
      <c r="C62" s="665"/>
      <c r="D62" s="665"/>
    </row>
    <row r="63" spans="1:5" s="666" customFormat="1">
      <c r="A63" s="664"/>
      <c r="B63" s="665"/>
      <c r="C63" s="665"/>
      <c r="D63" s="665"/>
    </row>
    <row r="64" spans="1:5" s="666" customFormat="1">
      <c r="A64" s="672" t="s">
        <v>1185</v>
      </c>
      <c r="B64" s="672" t="s">
        <v>1186</v>
      </c>
      <c r="C64" s="667" t="s">
        <v>1187</v>
      </c>
      <c r="D64" s="667" t="s">
        <v>1188</v>
      </c>
    </row>
    <row r="65" spans="1:4" s="666" customFormat="1" ht="46.5">
      <c r="A65" s="673" t="s">
        <v>1189</v>
      </c>
      <c r="B65" s="674">
        <v>62527126</v>
      </c>
      <c r="C65" s="669">
        <v>73561325</v>
      </c>
      <c r="D65" s="669">
        <v>11034199</v>
      </c>
    </row>
    <row r="66" spans="1:4" s="666" customFormat="1">
      <c r="A66" s="673" t="s">
        <v>1190</v>
      </c>
      <c r="B66" s="674">
        <v>379171560</v>
      </c>
      <c r="C66" s="669">
        <v>75495953</v>
      </c>
      <c r="D66" s="669">
        <v>-303675607</v>
      </c>
    </row>
    <row r="67" spans="1:4" s="666" customFormat="1">
      <c r="A67" s="673" t="s">
        <v>884</v>
      </c>
      <c r="B67" s="674">
        <v>47168405</v>
      </c>
      <c r="C67" s="669">
        <v>55492241</v>
      </c>
      <c r="D67" s="669">
        <v>8323836</v>
      </c>
    </row>
    <row r="68" spans="1:4" s="666" customFormat="1">
      <c r="A68" s="673" t="s">
        <v>1191</v>
      </c>
      <c r="B68" s="674">
        <v>1308385016</v>
      </c>
      <c r="C68" s="669">
        <v>1343666858</v>
      </c>
      <c r="D68" s="669">
        <v>35281842</v>
      </c>
    </row>
    <row r="69" spans="1:4" s="666" customFormat="1">
      <c r="A69" s="673" t="s">
        <v>1192</v>
      </c>
      <c r="B69" s="674">
        <v>344721257</v>
      </c>
      <c r="C69" s="669">
        <v>368495597</v>
      </c>
      <c r="D69" s="669">
        <v>23774340</v>
      </c>
    </row>
    <row r="70" spans="1:4" s="666" customFormat="1">
      <c r="A70" s="673" t="s">
        <v>892</v>
      </c>
      <c r="B70" s="674">
        <v>6417359057</v>
      </c>
      <c r="C70" s="669">
        <v>6737634538</v>
      </c>
      <c r="D70" s="669">
        <v>320275481</v>
      </c>
    </row>
    <row r="71" spans="1:4" s="666" customFormat="1">
      <c r="A71" s="673" t="s">
        <v>1193</v>
      </c>
      <c r="B71" s="674">
        <v>7201670</v>
      </c>
      <c r="C71" s="669">
        <v>8472553</v>
      </c>
      <c r="D71" s="669">
        <v>1270883</v>
      </c>
    </row>
    <row r="72" spans="1:4" s="666" customFormat="1">
      <c r="A72" s="673" t="s">
        <v>874</v>
      </c>
      <c r="B72" s="674">
        <v>27226109</v>
      </c>
      <c r="C72" s="669">
        <v>32030716</v>
      </c>
      <c r="D72" s="669">
        <v>4804607</v>
      </c>
    </row>
    <row r="73" spans="1:4" s="666" customFormat="1">
      <c r="A73" s="673" t="s">
        <v>1194</v>
      </c>
      <c r="B73" s="674">
        <v>58150110</v>
      </c>
      <c r="C73" s="669">
        <v>68411894</v>
      </c>
      <c r="D73" s="669">
        <v>10261784</v>
      </c>
    </row>
    <row r="74" spans="1:4" s="666" customFormat="1">
      <c r="A74" s="673" t="s">
        <v>879</v>
      </c>
      <c r="B74" s="674">
        <v>18547265</v>
      </c>
      <c r="C74" s="669">
        <v>21820312</v>
      </c>
      <c r="D74" s="669">
        <v>3273047</v>
      </c>
    </row>
    <row r="75" spans="1:4" s="666" customFormat="1">
      <c r="A75" s="673" t="s">
        <v>1195</v>
      </c>
      <c r="B75" s="674">
        <v>38539270</v>
      </c>
      <c r="C75" s="669">
        <v>45340318</v>
      </c>
      <c r="D75" s="669">
        <v>6801048</v>
      </c>
    </row>
    <row r="76" spans="1:4" s="666" customFormat="1">
      <c r="A76" s="673" t="s">
        <v>1196</v>
      </c>
      <c r="B76" s="674">
        <v>40798615</v>
      </c>
      <c r="C76" s="669">
        <v>47998371</v>
      </c>
      <c r="D76" s="669">
        <v>7199756</v>
      </c>
    </row>
    <row r="77" spans="1:4" s="666" customFormat="1">
      <c r="A77" s="673" t="s">
        <v>824</v>
      </c>
      <c r="B77" s="674">
        <v>48557183</v>
      </c>
      <c r="C77" s="669">
        <v>57126098</v>
      </c>
      <c r="D77" s="669">
        <v>8568915</v>
      </c>
    </row>
    <row r="78" spans="1:4" s="666" customFormat="1">
      <c r="A78" s="673" t="s">
        <v>592</v>
      </c>
      <c r="B78" s="674">
        <v>1163602</v>
      </c>
      <c r="C78" s="669">
        <v>1368943</v>
      </c>
      <c r="D78" s="669">
        <v>205341</v>
      </c>
    </row>
    <row r="79" spans="1:4" s="666" customFormat="1">
      <c r="A79" s="673" t="s">
        <v>1181</v>
      </c>
      <c r="B79" s="674">
        <v>309773808</v>
      </c>
      <c r="C79" s="669">
        <v>364439774</v>
      </c>
      <c r="D79" s="669">
        <v>54665966</v>
      </c>
    </row>
    <row r="80" spans="1:4" s="666" customFormat="1">
      <c r="A80" s="673" t="s">
        <v>873</v>
      </c>
      <c r="B80" s="674">
        <v>38518323</v>
      </c>
      <c r="C80" s="669">
        <v>45315674</v>
      </c>
      <c r="D80" s="669">
        <v>6797351</v>
      </c>
    </row>
    <row r="81" spans="1:6" s="666" customFormat="1">
      <c r="A81" s="673" t="s">
        <v>1197</v>
      </c>
      <c r="B81" s="674">
        <v>35085045</v>
      </c>
      <c r="C81" s="669">
        <v>41276524</v>
      </c>
      <c r="D81" s="669">
        <v>6191479</v>
      </c>
    </row>
    <row r="82" spans="1:6" s="666" customFormat="1">
      <c r="A82" s="673" t="s">
        <v>886</v>
      </c>
      <c r="B82" s="674">
        <v>236970001</v>
      </c>
      <c r="C82" s="669">
        <v>278788236</v>
      </c>
      <c r="D82" s="669">
        <v>41818235</v>
      </c>
    </row>
    <row r="83" spans="1:6" s="666" customFormat="1">
      <c r="A83" s="673" t="s">
        <v>888</v>
      </c>
      <c r="B83" s="674">
        <v>191705250</v>
      </c>
      <c r="C83" s="669">
        <v>191705250</v>
      </c>
      <c r="D83" s="668" t="s">
        <v>1198</v>
      </c>
    </row>
    <row r="84" spans="1:6" s="666" customFormat="1">
      <c r="A84" s="673" t="s">
        <v>1199</v>
      </c>
      <c r="B84" s="674">
        <v>40408450</v>
      </c>
      <c r="C84" s="669">
        <v>40408450</v>
      </c>
      <c r="D84" s="668" t="s">
        <v>1198</v>
      </c>
    </row>
    <row r="85" spans="1:6" s="666" customFormat="1">
      <c r="A85" s="673" t="s">
        <v>887</v>
      </c>
      <c r="B85" s="674">
        <v>34583766</v>
      </c>
      <c r="C85" s="669">
        <v>40686784</v>
      </c>
      <c r="D85" s="669">
        <v>6103018</v>
      </c>
    </row>
    <row r="86" spans="1:6" s="666" customFormat="1">
      <c r="A86" s="673" t="s">
        <v>1200</v>
      </c>
      <c r="B86" s="674">
        <v>19730956</v>
      </c>
      <c r="C86" s="669">
        <v>23212889</v>
      </c>
      <c r="D86" s="669">
        <v>3481933</v>
      </c>
    </row>
    <row r="87" spans="1:6" s="666" customFormat="1">
      <c r="A87" s="673" t="s">
        <v>885</v>
      </c>
      <c r="B87" s="674">
        <v>966961439</v>
      </c>
      <c r="C87" s="669">
        <v>966961439</v>
      </c>
      <c r="D87" s="668" t="s">
        <v>1198</v>
      </c>
    </row>
    <row r="88" spans="1:6" s="666" customFormat="1">
      <c r="A88" s="673" t="s">
        <v>1201</v>
      </c>
      <c r="B88" s="673" t="s">
        <v>1198</v>
      </c>
      <c r="C88" s="675"/>
      <c r="D88" s="668" t="s">
        <v>1198</v>
      </c>
    </row>
    <row r="89" spans="1:6" s="666" customFormat="1">
      <c r="A89" s="673" t="s">
        <v>1202</v>
      </c>
      <c r="B89" s="673" t="s">
        <v>1198</v>
      </c>
      <c r="C89" s="675"/>
      <c r="D89" s="668" t="s">
        <v>1198</v>
      </c>
    </row>
    <row r="90" spans="1:6" s="666" customFormat="1">
      <c r="A90" s="672" t="s">
        <v>825</v>
      </c>
      <c r="B90" s="676">
        <v>10673253284</v>
      </c>
      <c r="C90" s="677">
        <v>10929710737</v>
      </c>
      <c r="D90" s="677">
        <v>256457453</v>
      </c>
    </row>
    <row r="91" spans="1:6" s="666" customFormat="1">
      <c r="A91" s="664"/>
      <c r="B91" s="665"/>
      <c r="C91" s="665"/>
      <c r="D91" s="665"/>
    </row>
    <row r="92" spans="1:6" s="666" customFormat="1">
      <c r="A92" s="664"/>
      <c r="B92" s="665"/>
      <c r="C92" s="665"/>
      <c r="D92" s="665"/>
    </row>
    <row r="93" spans="1:6" s="680" customFormat="1">
      <c r="A93" s="678"/>
      <c r="B93" s="679"/>
      <c r="C93" s="679"/>
      <c r="D93" s="679"/>
      <c r="E93" s="666"/>
      <c r="F93" s="666"/>
    </row>
    <row r="94" spans="1:6" s="680" customFormat="1">
      <c r="A94" s="678"/>
      <c r="B94" s="679"/>
      <c r="C94" s="679"/>
      <c r="D94" s="679"/>
      <c r="E94" s="666"/>
      <c r="F94" s="666"/>
    </row>
    <row r="95" spans="1:6" s="680" customFormat="1">
      <c r="A95" s="678"/>
      <c r="B95" s="679"/>
      <c r="C95" s="679"/>
      <c r="D95" s="679"/>
      <c r="E95" s="666"/>
      <c r="F95" s="666"/>
    </row>
    <row r="96" spans="1:6" s="680" customFormat="1">
      <c r="A96" s="678"/>
      <c r="B96" s="679"/>
      <c r="C96" s="679"/>
      <c r="D96" s="679"/>
      <c r="E96" s="666"/>
      <c r="F96" s="666"/>
    </row>
    <row r="97" spans="1:6" s="680" customFormat="1">
      <c r="A97" s="678"/>
      <c r="B97" s="679"/>
      <c r="C97" s="679"/>
      <c r="D97" s="679"/>
      <c r="E97" s="666"/>
      <c r="F97" s="666"/>
    </row>
    <row r="98" spans="1:6" s="680" customFormat="1">
      <c r="A98" s="678"/>
      <c r="B98" s="679"/>
      <c r="C98" s="679"/>
      <c r="D98" s="679"/>
      <c r="E98" s="666"/>
      <c r="F98" s="666"/>
    </row>
    <row r="99" spans="1:6" s="680" customFormat="1">
      <c r="A99" s="678"/>
      <c r="B99" s="679"/>
      <c r="C99" s="679"/>
      <c r="D99" s="679"/>
      <c r="E99" s="666"/>
      <c r="F99" s="666"/>
    </row>
    <row r="100" spans="1:6" s="680" customFormat="1">
      <c r="A100" s="678"/>
      <c r="B100" s="679"/>
      <c r="C100" s="679"/>
      <c r="D100" s="679"/>
      <c r="E100" s="666"/>
      <c r="F100" s="666"/>
    </row>
    <row r="101" spans="1:6" s="680" customFormat="1">
      <c r="A101" s="678"/>
      <c r="B101" s="679"/>
      <c r="C101" s="679"/>
      <c r="D101" s="679"/>
      <c r="E101" s="666"/>
      <c r="F101" s="666"/>
    </row>
    <row r="102" spans="1:6" s="680" customFormat="1">
      <c r="A102" s="678"/>
      <c r="B102" s="679"/>
      <c r="C102" s="679"/>
      <c r="D102" s="679"/>
      <c r="E102" s="666"/>
      <c r="F102" s="666"/>
    </row>
    <row r="103" spans="1:6" s="680" customFormat="1">
      <c r="A103" s="678"/>
      <c r="B103" s="679"/>
      <c r="C103" s="679"/>
      <c r="D103" s="679"/>
      <c r="E103" s="666"/>
      <c r="F103" s="666"/>
    </row>
    <row r="104" spans="1:6" s="680" customFormat="1">
      <c r="A104" s="678"/>
      <c r="B104" s="679"/>
      <c r="C104" s="679"/>
      <c r="D104" s="679"/>
      <c r="E104" s="666"/>
      <c r="F104" s="666"/>
    </row>
    <row r="105" spans="1:6" s="680" customFormat="1">
      <c r="A105" s="678"/>
      <c r="B105" s="679"/>
      <c r="C105" s="679"/>
      <c r="D105" s="679"/>
      <c r="E105" s="666"/>
      <c r="F105" s="666"/>
    </row>
    <row r="106" spans="1:6" s="680" customFormat="1">
      <c r="A106" s="678"/>
      <c r="B106" s="679"/>
      <c r="C106" s="679"/>
      <c r="D106" s="679"/>
      <c r="E106" s="666"/>
      <c r="F106" s="666"/>
    </row>
    <row r="107" spans="1:6" s="680" customFormat="1">
      <c r="A107" s="678"/>
      <c r="B107" s="679"/>
      <c r="C107" s="679"/>
      <c r="D107" s="679"/>
      <c r="E107" s="666"/>
      <c r="F107" s="666"/>
    </row>
    <row r="108" spans="1:6" s="680" customFormat="1">
      <c r="A108" s="678"/>
      <c r="B108" s="679"/>
      <c r="C108" s="679"/>
      <c r="D108" s="679"/>
      <c r="E108" s="666"/>
      <c r="F108" s="666"/>
    </row>
    <row r="109" spans="1:6" s="680" customFormat="1">
      <c r="A109" s="678"/>
      <c r="B109" s="679"/>
      <c r="C109" s="679"/>
      <c r="D109" s="679"/>
      <c r="E109" s="666"/>
      <c r="F109" s="666"/>
    </row>
    <row r="110" spans="1:6" s="680" customFormat="1">
      <c r="A110" s="678"/>
      <c r="B110" s="679"/>
      <c r="C110" s="679"/>
      <c r="D110" s="679"/>
      <c r="E110" s="666"/>
      <c r="F110" s="666"/>
    </row>
    <row r="111" spans="1:6" s="680" customFormat="1">
      <c r="A111" s="678"/>
      <c r="B111" s="679"/>
      <c r="C111" s="679"/>
      <c r="D111" s="679"/>
      <c r="E111" s="666"/>
      <c r="F111" s="666"/>
    </row>
    <row r="112" spans="1:6" s="680" customFormat="1">
      <c r="A112" s="678"/>
      <c r="B112" s="679"/>
      <c r="C112" s="679"/>
      <c r="D112" s="679"/>
      <c r="E112" s="666"/>
      <c r="F112" s="666"/>
    </row>
    <row r="113" spans="1:6" s="680" customFormat="1">
      <c r="A113" s="678"/>
      <c r="B113" s="679"/>
      <c r="C113" s="679"/>
      <c r="D113" s="679"/>
      <c r="E113" s="666"/>
      <c r="F113" s="666"/>
    </row>
    <row r="114" spans="1:6" s="680" customFormat="1">
      <c r="A114" s="678"/>
      <c r="B114" s="679"/>
      <c r="C114" s="679"/>
      <c r="D114" s="679"/>
      <c r="E114" s="666"/>
      <c r="F114" s="666"/>
    </row>
    <row r="115" spans="1:6" s="680" customFormat="1">
      <c r="A115" s="678"/>
      <c r="B115" s="679"/>
      <c r="C115" s="679"/>
      <c r="D115" s="679"/>
      <c r="E115" s="666"/>
      <c r="F115" s="666"/>
    </row>
    <row r="116" spans="1:6" s="680" customFormat="1">
      <c r="A116" s="678"/>
      <c r="B116" s="679"/>
      <c r="C116" s="679"/>
      <c r="D116" s="679"/>
      <c r="E116" s="666"/>
      <c r="F116" s="666"/>
    </row>
    <row r="117" spans="1:6" s="680" customFormat="1">
      <c r="A117" s="678"/>
      <c r="B117" s="679"/>
      <c r="C117" s="679"/>
      <c r="D117" s="679"/>
      <c r="E117" s="666"/>
      <c r="F117" s="666"/>
    </row>
    <row r="118" spans="1:6" s="680" customFormat="1">
      <c r="A118" s="678"/>
      <c r="B118" s="679"/>
      <c r="C118" s="679"/>
      <c r="D118" s="679"/>
      <c r="E118" s="666"/>
      <c r="F118" s="666"/>
    </row>
    <row r="119" spans="1:6" s="680" customFormat="1">
      <c r="A119" s="678"/>
      <c r="B119" s="679"/>
      <c r="C119" s="679"/>
      <c r="D119" s="679"/>
      <c r="E119" s="666"/>
      <c r="F119" s="666"/>
    </row>
    <row r="120" spans="1:6" s="680" customFormat="1">
      <c r="A120" s="678"/>
      <c r="B120" s="679"/>
      <c r="C120" s="679"/>
      <c r="D120" s="679"/>
      <c r="E120" s="666"/>
      <c r="F120" s="666"/>
    </row>
    <row r="121" spans="1:6" s="680" customFormat="1">
      <c r="A121" s="678"/>
      <c r="B121" s="679"/>
      <c r="C121" s="679"/>
      <c r="D121" s="679"/>
      <c r="E121" s="666"/>
      <c r="F121" s="666"/>
    </row>
    <row r="122" spans="1:6" s="680" customFormat="1">
      <c r="A122" s="678"/>
      <c r="B122" s="679"/>
      <c r="C122" s="679"/>
      <c r="D122" s="679"/>
      <c r="E122" s="666"/>
      <c r="F122" s="666"/>
    </row>
    <row r="123" spans="1:6" s="680" customFormat="1">
      <c r="A123" s="678"/>
      <c r="B123" s="679"/>
      <c r="C123" s="679"/>
      <c r="D123" s="679"/>
      <c r="E123" s="666"/>
      <c r="F123" s="666"/>
    </row>
    <row r="124" spans="1:6" s="680" customFormat="1">
      <c r="A124" s="678"/>
      <c r="B124" s="679"/>
      <c r="C124" s="679"/>
      <c r="D124" s="679"/>
      <c r="E124" s="666"/>
      <c r="F124" s="666"/>
    </row>
    <row r="125" spans="1:6" s="680" customFormat="1">
      <c r="A125" s="678"/>
      <c r="B125" s="679"/>
      <c r="C125" s="679"/>
      <c r="D125" s="679"/>
      <c r="E125" s="666"/>
      <c r="F125" s="666"/>
    </row>
    <row r="126" spans="1:6" s="680" customFormat="1">
      <c r="A126" s="678"/>
      <c r="B126" s="679"/>
      <c r="C126" s="679"/>
      <c r="D126" s="679"/>
      <c r="E126" s="666"/>
      <c r="F126" s="666"/>
    </row>
    <row r="127" spans="1:6" s="680" customFormat="1">
      <c r="A127" s="678"/>
      <c r="B127" s="679"/>
      <c r="C127" s="679"/>
      <c r="D127" s="679"/>
      <c r="E127" s="666"/>
      <c r="F127" s="666"/>
    </row>
    <row r="128" spans="1:6" s="680" customFormat="1">
      <c r="A128" s="678"/>
      <c r="B128" s="679"/>
      <c r="C128" s="679"/>
      <c r="D128" s="679"/>
      <c r="E128" s="666"/>
      <c r="F128" s="666"/>
    </row>
    <row r="129" spans="1:6" s="680" customFormat="1">
      <c r="A129" s="678"/>
      <c r="B129" s="679"/>
      <c r="C129" s="679"/>
      <c r="D129" s="679"/>
      <c r="E129" s="666"/>
      <c r="F129" s="666"/>
    </row>
    <row r="130" spans="1:6" s="680" customFormat="1">
      <c r="A130" s="678"/>
      <c r="B130" s="679"/>
      <c r="C130" s="679"/>
      <c r="D130" s="679"/>
      <c r="E130" s="666"/>
      <c r="F130" s="666"/>
    </row>
    <row r="131" spans="1:6" s="680" customFormat="1">
      <c r="A131" s="678"/>
      <c r="B131" s="679"/>
      <c r="C131" s="679"/>
      <c r="D131" s="679"/>
      <c r="E131" s="666"/>
      <c r="F131" s="666"/>
    </row>
    <row r="132" spans="1:6" s="680" customFormat="1">
      <c r="A132" s="678"/>
      <c r="B132" s="679"/>
      <c r="C132" s="679"/>
      <c r="D132" s="679"/>
      <c r="E132" s="666"/>
      <c r="F132" s="666"/>
    </row>
    <row r="133" spans="1:6" s="680" customFormat="1">
      <c r="A133" s="678"/>
      <c r="B133" s="679"/>
      <c r="C133" s="679"/>
      <c r="D133" s="679"/>
      <c r="E133" s="666"/>
      <c r="F133" s="666"/>
    </row>
    <row r="134" spans="1:6" s="680" customFormat="1">
      <c r="A134" s="678"/>
      <c r="B134" s="679"/>
      <c r="C134" s="679"/>
      <c r="D134" s="679"/>
      <c r="E134" s="666"/>
      <c r="F134" s="666"/>
    </row>
    <row r="135" spans="1:6" s="680" customFormat="1">
      <c r="A135" s="678"/>
      <c r="B135" s="679"/>
      <c r="C135" s="679"/>
      <c r="D135" s="679"/>
      <c r="E135" s="666"/>
      <c r="F135" s="666"/>
    </row>
    <row r="136" spans="1:6" s="680" customFormat="1">
      <c r="A136" s="678"/>
      <c r="B136" s="679"/>
      <c r="C136" s="679"/>
      <c r="D136" s="679"/>
      <c r="E136" s="666"/>
      <c r="F136" s="666"/>
    </row>
    <row r="137" spans="1:6" s="680" customFormat="1">
      <c r="A137" s="678"/>
      <c r="B137" s="679"/>
      <c r="C137" s="679"/>
      <c r="D137" s="679"/>
      <c r="E137" s="666"/>
      <c r="F137" s="666"/>
    </row>
    <row r="138" spans="1:6" s="680" customFormat="1">
      <c r="A138" s="678"/>
      <c r="B138" s="679"/>
      <c r="C138" s="679"/>
      <c r="D138" s="679"/>
      <c r="E138" s="666"/>
      <c r="F138" s="666"/>
    </row>
    <row r="139" spans="1:6" s="680" customFormat="1">
      <c r="A139" s="678"/>
      <c r="B139" s="679"/>
      <c r="C139" s="679"/>
      <c r="D139" s="679"/>
      <c r="E139" s="666"/>
      <c r="F139" s="666"/>
    </row>
    <row r="140" spans="1:6" s="680" customFormat="1">
      <c r="A140" s="678"/>
      <c r="B140" s="679"/>
      <c r="C140" s="679"/>
      <c r="D140" s="679"/>
      <c r="E140" s="666"/>
      <c r="F140" s="666"/>
    </row>
    <row r="141" spans="1:6" s="680" customFormat="1">
      <c r="A141" s="678"/>
      <c r="B141" s="679"/>
      <c r="C141" s="679"/>
      <c r="D141" s="679"/>
      <c r="E141" s="666"/>
      <c r="F141" s="666"/>
    </row>
    <row r="142" spans="1:6" s="680" customFormat="1">
      <c r="A142" s="678"/>
      <c r="B142" s="679"/>
      <c r="C142" s="679"/>
      <c r="D142" s="679"/>
      <c r="E142" s="666"/>
      <c r="F142" s="666"/>
    </row>
    <row r="143" spans="1:6" s="680" customFormat="1">
      <c r="A143" s="678"/>
      <c r="B143" s="679"/>
      <c r="C143" s="679"/>
      <c r="D143" s="679"/>
      <c r="E143" s="666"/>
      <c r="F143" s="666"/>
    </row>
    <row r="144" spans="1:6" s="680" customFormat="1">
      <c r="A144" s="678"/>
      <c r="B144" s="679"/>
      <c r="C144" s="679"/>
      <c r="D144" s="679"/>
      <c r="E144" s="666"/>
      <c r="F144" s="666"/>
    </row>
    <row r="145" spans="1:6" s="680" customFormat="1">
      <c r="A145" s="678"/>
      <c r="B145" s="679"/>
      <c r="C145" s="679"/>
      <c r="D145" s="679"/>
      <c r="E145" s="666"/>
      <c r="F145" s="666"/>
    </row>
    <row r="146" spans="1:6" s="680" customFormat="1">
      <c r="A146" s="678"/>
      <c r="B146" s="679"/>
      <c r="C146" s="679"/>
      <c r="D146" s="679"/>
      <c r="E146" s="666"/>
      <c r="F146" s="666"/>
    </row>
    <row r="147" spans="1:6" s="680" customFormat="1">
      <c r="A147" s="678"/>
      <c r="B147" s="679"/>
      <c r="C147" s="679"/>
      <c r="D147" s="679"/>
      <c r="E147" s="666"/>
      <c r="F147" s="666"/>
    </row>
    <row r="148" spans="1:6" s="680" customFormat="1">
      <c r="A148" s="678"/>
      <c r="B148" s="679"/>
      <c r="C148" s="679"/>
      <c r="D148" s="679"/>
      <c r="E148" s="666"/>
      <c r="F148" s="666"/>
    </row>
    <row r="149" spans="1:6" s="680" customFormat="1">
      <c r="A149" s="678"/>
      <c r="B149" s="679"/>
      <c r="C149" s="679"/>
      <c r="D149" s="679"/>
      <c r="E149" s="666"/>
      <c r="F149" s="666"/>
    </row>
    <row r="150" spans="1:6" s="680" customFormat="1">
      <c r="A150" s="678"/>
      <c r="B150" s="679"/>
      <c r="C150" s="679"/>
      <c r="D150" s="679"/>
      <c r="E150" s="666"/>
      <c r="F150" s="666"/>
    </row>
    <row r="151" spans="1:6" s="680" customFormat="1">
      <c r="A151" s="678"/>
      <c r="B151" s="679"/>
      <c r="C151" s="679"/>
      <c r="D151" s="679"/>
      <c r="E151" s="666"/>
      <c r="F151" s="666"/>
    </row>
    <row r="152" spans="1:6" s="680" customFormat="1">
      <c r="A152" s="678"/>
      <c r="B152" s="679"/>
      <c r="C152" s="679"/>
      <c r="D152" s="679"/>
      <c r="E152" s="666"/>
      <c r="F152" s="666"/>
    </row>
    <row r="153" spans="1:6" s="680" customFormat="1">
      <c r="A153" s="678"/>
      <c r="B153" s="679"/>
      <c r="C153" s="679"/>
      <c r="D153" s="679"/>
      <c r="E153" s="666"/>
      <c r="F153" s="666"/>
    </row>
    <row r="154" spans="1:6" s="680" customFormat="1">
      <c r="A154" s="678"/>
      <c r="B154" s="679"/>
      <c r="C154" s="679"/>
      <c r="D154" s="679"/>
      <c r="E154" s="666"/>
      <c r="F154" s="666"/>
    </row>
    <row r="155" spans="1:6" s="680" customFormat="1">
      <c r="A155" s="678"/>
      <c r="B155" s="679"/>
      <c r="C155" s="679"/>
      <c r="D155" s="679"/>
      <c r="E155" s="666"/>
      <c r="F155" s="666"/>
    </row>
    <row r="156" spans="1:6" s="680" customFormat="1">
      <c r="A156" s="678"/>
      <c r="B156" s="679"/>
      <c r="C156" s="679"/>
      <c r="D156" s="679"/>
      <c r="E156" s="666"/>
      <c r="F156" s="666"/>
    </row>
    <row r="157" spans="1:6" s="680" customFormat="1">
      <c r="A157" s="678"/>
      <c r="B157" s="679"/>
      <c r="C157" s="679"/>
      <c r="D157" s="679"/>
      <c r="E157" s="666"/>
      <c r="F157" s="666"/>
    </row>
    <row r="158" spans="1:6" s="680" customFormat="1">
      <c r="A158" s="678"/>
      <c r="B158" s="679"/>
      <c r="C158" s="679"/>
      <c r="D158" s="679"/>
      <c r="E158" s="666"/>
      <c r="F158" s="666"/>
    </row>
    <row r="159" spans="1:6" s="680" customFormat="1">
      <c r="A159" s="678"/>
      <c r="B159" s="679"/>
      <c r="C159" s="679"/>
      <c r="D159" s="679"/>
      <c r="E159" s="666"/>
      <c r="F159" s="666"/>
    </row>
    <row r="160" spans="1:6" s="680" customFormat="1">
      <c r="A160" s="678"/>
      <c r="B160" s="679"/>
      <c r="C160" s="679"/>
      <c r="D160" s="679"/>
      <c r="E160" s="666"/>
      <c r="F160" s="666"/>
    </row>
    <row r="161" spans="1:6" s="680" customFormat="1">
      <c r="A161" s="678"/>
      <c r="B161" s="679"/>
      <c r="C161" s="679"/>
      <c r="D161" s="679"/>
      <c r="E161" s="666"/>
      <c r="F161" s="666"/>
    </row>
    <row r="162" spans="1:6" s="680" customFormat="1">
      <c r="A162" s="678"/>
      <c r="B162" s="679"/>
      <c r="C162" s="679"/>
      <c r="D162" s="679"/>
      <c r="E162" s="666"/>
      <c r="F162" s="666"/>
    </row>
    <row r="163" spans="1:6" s="680" customFormat="1">
      <c r="A163" s="678"/>
      <c r="B163" s="679"/>
      <c r="C163" s="679"/>
      <c r="D163" s="679"/>
      <c r="E163" s="666"/>
      <c r="F163" s="666"/>
    </row>
    <row r="164" spans="1:6" s="680" customFormat="1">
      <c r="A164" s="678"/>
      <c r="B164" s="679"/>
      <c r="C164" s="679"/>
      <c r="D164" s="679"/>
      <c r="E164" s="666"/>
      <c r="F164" s="666"/>
    </row>
    <row r="165" spans="1:6" s="680" customFormat="1">
      <c r="A165" s="678"/>
      <c r="B165" s="679"/>
      <c r="C165" s="679"/>
      <c r="D165" s="679"/>
      <c r="E165" s="666"/>
      <c r="F165" s="666"/>
    </row>
    <row r="166" spans="1:6" s="680" customFormat="1">
      <c r="A166" s="678"/>
      <c r="B166" s="679"/>
      <c r="C166" s="679"/>
      <c r="D166" s="679"/>
      <c r="E166" s="666"/>
      <c r="F166" s="666"/>
    </row>
    <row r="167" spans="1:6" s="680" customFormat="1">
      <c r="A167" s="678"/>
      <c r="B167" s="679"/>
      <c r="C167" s="679"/>
      <c r="D167" s="679"/>
      <c r="E167" s="666"/>
      <c r="F167" s="666"/>
    </row>
    <row r="168" spans="1:6" s="680" customFormat="1">
      <c r="A168" s="678"/>
      <c r="B168" s="679"/>
      <c r="C168" s="679"/>
      <c r="D168" s="679"/>
      <c r="E168" s="666"/>
      <c r="F168" s="666"/>
    </row>
    <row r="169" spans="1:6" s="680" customFormat="1">
      <c r="A169" s="678"/>
      <c r="B169" s="679"/>
      <c r="C169" s="679"/>
      <c r="D169" s="679"/>
      <c r="E169" s="666"/>
      <c r="F169" s="666"/>
    </row>
    <row r="170" spans="1:6" s="680" customFormat="1">
      <c r="A170" s="678"/>
      <c r="B170" s="679"/>
      <c r="C170" s="679"/>
      <c r="D170" s="679"/>
      <c r="E170" s="666"/>
      <c r="F170" s="666"/>
    </row>
    <row r="171" spans="1:6" s="680" customFormat="1">
      <c r="A171" s="678"/>
      <c r="B171" s="679"/>
      <c r="C171" s="679"/>
      <c r="D171" s="679"/>
      <c r="E171" s="666"/>
      <c r="F171" s="666"/>
    </row>
    <row r="172" spans="1:6" s="680" customFormat="1">
      <c r="A172" s="678"/>
      <c r="B172" s="679"/>
      <c r="C172" s="679"/>
      <c r="D172" s="679"/>
      <c r="E172" s="666"/>
      <c r="F172" s="666"/>
    </row>
    <row r="173" spans="1:6" s="680" customFormat="1">
      <c r="A173" s="678"/>
      <c r="B173" s="679"/>
      <c r="C173" s="679"/>
      <c r="D173" s="679"/>
      <c r="E173" s="666"/>
      <c r="F173" s="666"/>
    </row>
    <row r="174" spans="1:6" s="680" customFormat="1">
      <c r="A174" s="678"/>
      <c r="B174" s="679"/>
      <c r="C174" s="679"/>
      <c r="D174" s="679"/>
      <c r="E174" s="666"/>
      <c r="F174" s="666"/>
    </row>
    <row r="175" spans="1:6" s="680" customFormat="1">
      <c r="A175" s="678"/>
      <c r="B175" s="679"/>
      <c r="C175" s="679"/>
      <c r="D175" s="679"/>
      <c r="E175" s="666"/>
      <c r="F175" s="666"/>
    </row>
    <row r="176" spans="1:6" s="680" customFormat="1">
      <c r="A176" s="678"/>
      <c r="B176" s="679"/>
      <c r="C176" s="679"/>
      <c r="D176" s="679"/>
      <c r="E176" s="666"/>
      <c r="F176" s="666"/>
    </row>
    <row r="177" spans="1:6" s="680" customFormat="1">
      <c r="A177" s="678"/>
      <c r="B177" s="679"/>
      <c r="C177" s="679"/>
      <c r="D177" s="679"/>
      <c r="E177" s="666"/>
      <c r="F177" s="666"/>
    </row>
    <row r="178" spans="1:6" s="680" customFormat="1">
      <c r="A178" s="678"/>
      <c r="B178" s="679"/>
      <c r="C178" s="679"/>
      <c r="D178" s="679"/>
      <c r="E178" s="666"/>
      <c r="F178" s="666"/>
    </row>
    <row r="179" spans="1:6" s="680" customFormat="1">
      <c r="A179" s="678"/>
      <c r="B179" s="679"/>
      <c r="C179" s="679"/>
      <c r="D179" s="679"/>
      <c r="E179" s="666"/>
      <c r="F179" s="666"/>
    </row>
    <row r="180" spans="1:6" s="680" customFormat="1">
      <c r="A180" s="678"/>
      <c r="B180" s="679"/>
      <c r="C180" s="679"/>
      <c r="D180" s="679"/>
      <c r="E180" s="666"/>
      <c r="F180" s="666"/>
    </row>
    <row r="181" spans="1:6" s="680" customFormat="1">
      <c r="A181" s="678"/>
      <c r="B181" s="679"/>
      <c r="C181" s="679"/>
      <c r="D181" s="679"/>
      <c r="E181" s="666"/>
      <c r="F181" s="666"/>
    </row>
    <row r="182" spans="1:6" s="680" customFormat="1">
      <c r="A182" s="678"/>
      <c r="B182" s="679"/>
      <c r="C182" s="679"/>
      <c r="D182" s="679"/>
      <c r="E182" s="666"/>
      <c r="F182" s="666"/>
    </row>
    <row r="183" spans="1:6" s="680" customFormat="1">
      <c r="A183" s="678"/>
      <c r="B183" s="679"/>
      <c r="C183" s="679"/>
      <c r="D183" s="679"/>
      <c r="E183" s="666"/>
      <c r="F183" s="666"/>
    </row>
    <row r="184" spans="1:6" s="680" customFormat="1">
      <c r="A184" s="678"/>
      <c r="B184" s="679"/>
      <c r="C184" s="679"/>
      <c r="D184" s="679"/>
      <c r="E184" s="666"/>
      <c r="F184" s="666"/>
    </row>
    <row r="185" spans="1:6" s="680" customFormat="1">
      <c r="A185" s="678"/>
      <c r="B185" s="679"/>
      <c r="C185" s="679"/>
      <c r="D185" s="679"/>
      <c r="E185" s="666"/>
      <c r="F185" s="666"/>
    </row>
    <row r="186" spans="1:6" s="680" customFormat="1">
      <c r="A186" s="678"/>
      <c r="B186" s="679"/>
      <c r="C186" s="679"/>
      <c r="D186" s="679"/>
      <c r="E186" s="666"/>
      <c r="F186" s="666"/>
    </row>
    <row r="187" spans="1:6" s="680" customFormat="1">
      <c r="A187" s="678"/>
      <c r="B187" s="679"/>
      <c r="C187" s="679"/>
      <c r="D187" s="679"/>
      <c r="E187" s="666"/>
      <c r="F187" s="666"/>
    </row>
    <row r="188" spans="1:6" s="680" customFormat="1">
      <c r="A188" s="678"/>
      <c r="B188" s="679"/>
      <c r="C188" s="679"/>
      <c r="D188" s="679"/>
      <c r="E188" s="666"/>
      <c r="F188" s="666"/>
    </row>
    <row r="189" spans="1:6" s="680" customFormat="1">
      <c r="A189" s="678"/>
      <c r="B189" s="679"/>
      <c r="C189" s="679"/>
      <c r="D189" s="679"/>
      <c r="E189" s="666"/>
      <c r="F189" s="666"/>
    </row>
    <row r="190" spans="1:6" s="680" customFormat="1">
      <c r="A190" s="678"/>
      <c r="B190" s="679"/>
      <c r="C190" s="679"/>
      <c r="D190" s="679"/>
      <c r="E190" s="666"/>
      <c r="F190" s="666"/>
    </row>
    <row r="191" spans="1:6" s="680" customFormat="1">
      <c r="A191" s="678"/>
      <c r="B191" s="679"/>
      <c r="C191" s="679"/>
      <c r="D191" s="679"/>
      <c r="E191" s="666"/>
      <c r="F191" s="666"/>
    </row>
    <row r="192" spans="1:6" s="680" customFormat="1">
      <c r="A192" s="678"/>
      <c r="B192" s="679"/>
      <c r="C192" s="679"/>
      <c r="D192" s="679"/>
      <c r="E192" s="666"/>
      <c r="F192" s="666"/>
    </row>
    <row r="193" spans="1:6" s="680" customFormat="1">
      <c r="A193" s="678"/>
      <c r="B193" s="679"/>
      <c r="C193" s="679"/>
      <c r="D193" s="679"/>
      <c r="E193" s="666"/>
      <c r="F193" s="666"/>
    </row>
    <row r="194" spans="1:6" s="680" customFormat="1">
      <c r="A194" s="678"/>
      <c r="B194" s="679"/>
      <c r="C194" s="679"/>
      <c r="D194" s="679"/>
      <c r="E194" s="666"/>
      <c r="F194" s="666"/>
    </row>
    <row r="195" spans="1:6" s="680" customFormat="1">
      <c r="A195" s="678"/>
      <c r="B195" s="679"/>
      <c r="C195" s="679"/>
      <c r="D195" s="679"/>
      <c r="E195" s="666"/>
      <c r="F195" s="666"/>
    </row>
    <row r="196" spans="1:6" s="680" customFormat="1">
      <c r="A196" s="678"/>
      <c r="B196" s="679"/>
      <c r="C196" s="679"/>
      <c r="D196" s="679"/>
      <c r="E196" s="666"/>
      <c r="F196" s="666"/>
    </row>
    <row r="197" spans="1:6" s="680" customFormat="1">
      <c r="A197" s="678"/>
      <c r="B197" s="679"/>
      <c r="C197" s="679"/>
      <c r="D197" s="679"/>
      <c r="E197" s="666"/>
      <c r="F197" s="666"/>
    </row>
    <row r="198" spans="1:6" s="680" customFormat="1">
      <c r="A198" s="678"/>
      <c r="B198" s="679"/>
      <c r="C198" s="679"/>
      <c r="D198" s="679"/>
      <c r="E198" s="666"/>
      <c r="F198" s="666"/>
    </row>
    <row r="199" spans="1:6" s="680" customFormat="1">
      <c r="A199" s="678"/>
      <c r="B199" s="679"/>
      <c r="C199" s="679"/>
      <c r="D199" s="679"/>
      <c r="E199" s="666"/>
      <c r="F199" s="666"/>
    </row>
    <row r="200" spans="1:6" s="680" customFormat="1">
      <c r="A200" s="678"/>
      <c r="B200" s="679"/>
      <c r="C200" s="679"/>
      <c r="D200" s="679"/>
      <c r="E200" s="666"/>
      <c r="F200" s="666"/>
    </row>
    <row r="201" spans="1:6" s="680" customFormat="1">
      <c r="A201" s="678"/>
      <c r="B201" s="679"/>
      <c r="C201" s="679"/>
      <c r="D201" s="679"/>
      <c r="E201" s="666"/>
      <c r="F201" s="666"/>
    </row>
    <row r="202" spans="1:6" s="680" customFormat="1">
      <c r="A202" s="678"/>
      <c r="B202" s="679"/>
      <c r="C202" s="679"/>
      <c r="D202" s="679"/>
      <c r="E202" s="666"/>
      <c r="F202" s="666"/>
    </row>
    <row r="203" spans="1:6" s="680" customFormat="1">
      <c r="A203" s="678"/>
      <c r="B203" s="679"/>
      <c r="C203" s="679"/>
      <c r="D203" s="679"/>
      <c r="E203" s="666"/>
      <c r="F203" s="666"/>
    </row>
    <row r="204" spans="1:6" s="680" customFormat="1">
      <c r="A204" s="678"/>
      <c r="B204" s="679"/>
      <c r="C204" s="679"/>
      <c r="D204" s="679"/>
      <c r="E204" s="666"/>
      <c r="F204" s="666"/>
    </row>
    <row r="205" spans="1:6" s="680" customFormat="1">
      <c r="A205" s="678"/>
      <c r="B205" s="679"/>
      <c r="C205" s="679"/>
      <c r="D205" s="679"/>
      <c r="E205" s="666"/>
      <c r="F205" s="666"/>
    </row>
    <row r="206" spans="1:6" s="680" customFormat="1">
      <c r="A206" s="678"/>
      <c r="B206" s="679"/>
      <c r="C206" s="679"/>
      <c r="D206" s="679"/>
      <c r="E206" s="666"/>
      <c r="F206" s="666"/>
    </row>
    <row r="207" spans="1:6" s="680" customFormat="1">
      <c r="A207" s="678"/>
      <c r="B207" s="679"/>
      <c r="C207" s="679"/>
      <c r="D207" s="679"/>
      <c r="E207" s="666"/>
      <c r="F207" s="66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zoomScale="120" zoomScaleNormal="120" workbookViewId="0">
      <selection activeCell="K7" sqref="K7"/>
    </sheetView>
  </sheetViews>
  <sheetFormatPr defaultColWidth="9.08984375" defaultRowHeight="15.5"/>
  <cols>
    <col min="1" max="1" width="35.90625" style="498" customWidth="1"/>
    <col min="2" max="2" width="17.90625" style="498" customWidth="1"/>
    <col min="3" max="3" width="12.90625" style="498" customWidth="1"/>
    <col min="4" max="4" width="12.90625" style="513" customWidth="1"/>
    <col min="5" max="5" width="14.36328125" style="498" customWidth="1"/>
    <col min="6" max="6" width="15.54296875" style="513" customWidth="1"/>
    <col min="7" max="7" width="14.1796875" style="513" customWidth="1"/>
    <col min="8" max="9" width="15.08984375" style="513" customWidth="1"/>
    <col min="10" max="10" width="14.453125" style="513" customWidth="1"/>
    <col min="11" max="11" width="18.36328125" style="513" customWidth="1"/>
    <col min="12" max="12" width="23.08984375" style="513" customWidth="1"/>
    <col min="13" max="13" width="19.6328125" style="630" customWidth="1"/>
    <col min="14" max="14" width="14.36328125" style="630" customWidth="1"/>
    <col min="15" max="15" width="16" style="498" customWidth="1"/>
    <col min="16" max="16384" width="9.08984375" style="498"/>
  </cols>
  <sheetData>
    <row r="1" spans="1:14">
      <c r="A1" s="603"/>
      <c r="B1" s="603"/>
      <c r="C1" s="603"/>
      <c r="D1" s="604"/>
      <c r="E1" s="603"/>
      <c r="M1" s="639">
        <f>L1-L5</f>
        <v>-714101878.00586116</v>
      </c>
    </row>
    <row r="2" spans="1:14" ht="46.5">
      <c r="A2" s="518" t="s">
        <v>870</v>
      </c>
      <c r="B2" s="435" t="s">
        <v>1031</v>
      </c>
      <c r="C2" s="435" t="s">
        <v>1024</v>
      </c>
      <c r="D2" s="602" t="s">
        <v>1025</v>
      </c>
      <c r="E2" s="435" t="s">
        <v>1026</v>
      </c>
      <c r="F2" s="435" t="s">
        <v>1026</v>
      </c>
      <c r="G2" s="435" t="s">
        <v>1024</v>
      </c>
      <c r="H2" s="435" t="s">
        <v>1032</v>
      </c>
      <c r="I2" s="435"/>
      <c r="J2" s="517" t="s">
        <v>372</v>
      </c>
      <c r="K2" s="517" t="s">
        <v>825</v>
      </c>
      <c r="L2" s="517" t="s">
        <v>825</v>
      </c>
    </row>
    <row r="3" spans="1:14">
      <c r="A3" s="91" t="s">
        <v>871</v>
      </c>
      <c r="B3" s="91"/>
      <c r="C3" s="91"/>
      <c r="D3" s="517"/>
      <c r="E3" s="605">
        <f>F3-B3-C3-D3</f>
        <v>59567037</v>
      </c>
      <c r="F3" s="517">
        <f>Agriculture.!B407</f>
        <v>59567037</v>
      </c>
      <c r="G3" s="517">
        <f>'Resource Envelop'!F15+'Resource Envelop'!F21</f>
        <v>138500000</v>
      </c>
      <c r="H3" s="517">
        <f>'Ward based rojects'!F10</f>
        <v>117023193.85480027</v>
      </c>
      <c r="I3" s="517">
        <f>J3-H3-G3</f>
        <v>209664196</v>
      </c>
      <c r="J3" s="517">
        <f>Agriculture.!B408</f>
        <v>465187389.85480028</v>
      </c>
      <c r="K3" s="517">
        <f>F3+J3</f>
        <v>524754426.85480028</v>
      </c>
      <c r="L3" s="94">
        <f>F3+J3</f>
        <v>524754426.85480028</v>
      </c>
      <c r="M3" s="633">
        <v>585023570</v>
      </c>
      <c r="N3" s="639">
        <f>L3-M3</f>
        <v>-60269143.145199716</v>
      </c>
    </row>
    <row r="4" spans="1:14">
      <c r="A4" s="91" t="s">
        <v>872</v>
      </c>
      <c r="B4" s="91"/>
      <c r="C4" s="91"/>
      <c r="D4" s="517">
        <f>'Tourism- Water'!B31</f>
        <v>340899006</v>
      </c>
      <c r="E4" s="605">
        <f t="shared" ref="E4:E31" si="0">F4-B4-C4-D4</f>
        <v>23540767.600000024</v>
      </c>
      <c r="F4" s="517">
        <f>'Tourism- Water'!B50</f>
        <v>364439773.60000002</v>
      </c>
      <c r="G4" s="612">
        <f>'Resource Envelop'!F30</f>
        <v>308326569</v>
      </c>
      <c r="H4" s="517">
        <v>0</v>
      </c>
      <c r="I4" s="517">
        <f t="shared" ref="I4:I32" si="1">J4-H4-G4</f>
        <v>91000000</v>
      </c>
      <c r="J4" s="517">
        <f>'Tourism- Water'!B60</f>
        <v>399326569</v>
      </c>
      <c r="K4" s="517">
        <f t="shared" ref="K4:K32" si="2">F4+J4</f>
        <v>763766342.60000002</v>
      </c>
      <c r="L4" s="94">
        <f t="shared" ref="L4:L31" si="3">F4+J4</f>
        <v>763766342.60000002</v>
      </c>
      <c r="M4" s="633">
        <v>763766343</v>
      </c>
      <c r="N4" s="639">
        <f t="shared" ref="N4:N33" si="4">L4-M4</f>
        <v>-0.39999997615814209</v>
      </c>
    </row>
    <row r="5" spans="1:14">
      <c r="A5" s="91" t="s">
        <v>873</v>
      </c>
      <c r="B5" s="91"/>
      <c r="C5" s="91"/>
      <c r="D5" s="517"/>
      <c r="E5" s="605">
        <f t="shared" si="0"/>
        <v>45315674</v>
      </c>
      <c r="F5" s="517">
        <f>'Tourism- Water'!B106</f>
        <v>45315674</v>
      </c>
      <c r="G5" s="517">
        <f>'Resource Envelop'!F31</f>
        <v>500000000</v>
      </c>
      <c r="H5" s="517">
        <f>'Ward based rojects'!F7</f>
        <v>122507048.4658612</v>
      </c>
      <c r="I5" s="517">
        <f t="shared" si="1"/>
        <v>46279155.539999962</v>
      </c>
      <c r="J5" s="517">
        <f>'Tourism- Water'!B114</f>
        <v>668786204.00586116</v>
      </c>
      <c r="K5" s="517">
        <f t="shared" si="2"/>
        <v>714101878.00586116</v>
      </c>
      <c r="L5" s="94">
        <f t="shared" si="3"/>
        <v>714101878.00586116</v>
      </c>
      <c r="M5" s="633">
        <v>232317032</v>
      </c>
      <c r="N5" s="639">
        <f t="shared" si="4"/>
        <v>481784846.00586116</v>
      </c>
    </row>
    <row r="6" spans="1:14">
      <c r="A6" s="91" t="s">
        <v>874</v>
      </c>
      <c r="B6" s="91"/>
      <c r="C6" s="91"/>
      <c r="D6" s="517"/>
      <c r="E6" s="605">
        <f t="shared" si="0"/>
        <v>32030716.039999999</v>
      </c>
      <c r="F6" s="517">
        <f>Road!B56</f>
        <v>32030716.039999999</v>
      </c>
      <c r="G6" s="517"/>
      <c r="H6" s="517">
        <f>'Ward based rojects'!F5</f>
        <v>677853637.25928175</v>
      </c>
      <c r="I6" s="517">
        <f t="shared" si="1"/>
        <v>219350805</v>
      </c>
      <c r="J6" s="517">
        <f>Road!B71</f>
        <v>897204442.25928175</v>
      </c>
      <c r="K6" s="517">
        <f t="shared" si="2"/>
        <v>929235158.29928172</v>
      </c>
      <c r="L6" s="94">
        <f t="shared" si="3"/>
        <v>929235158.29928172</v>
      </c>
      <c r="M6" s="633">
        <v>984699907</v>
      </c>
      <c r="N6" s="639">
        <f t="shared" si="4"/>
        <v>-55464748.700718284</v>
      </c>
    </row>
    <row r="7" spans="1:14">
      <c r="A7" s="91" t="s">
        <v>875</v>
      </c>
      <c r="B7" s="91"/>
      <c r="C7" s="91"/>
      <c r="D7" s="517"/>
      <c r="E7" s="605">
        <f t="shared" si="0"/>
        <v>66945953</v>
      </c>
      <c r="F7" s="517">
        <f>Education!B34+Education!B66</f>
        <v>66945953</v>
      </c>
      <c r="G7" s="517"/>
      <c r="H7" s="517">
        <f>'Ward based rojects'!F6</f>
        <v>269284972.42224205</v>
      </c>
      <c r="I7" s="517">
        <f t="shared" si="1"/>
        <v>24382131.589999974</v>
      </c>
      <c r="J7" s="517">
        <f>Education!B42+Education!B72</f>
        <v>293667104.01224202</v>
      </c>
      <c r="K7" s="517">
        <f t="shared" si="2"/>
        <v>360613057.01224202</v>
      </c>
      <c r="L7" s="517">
        <f t="shared" si="3"/>
        <v>360613057.01224202</v>
      </c>
      <c r="M7" s="633">
        <v>230195496</v>
      </c>
      <c r="N7" s="639">
        <f t="shared" si="4"/>
        <v>130417561.01224202</v>
      </c>
    </row>
    <row r="8" spans="1:14">
      <c r="A8" s="91" t="s">
        <v>822</v>
      </c>
      <c r="B8" s="91"/>
      <c r="C8" s="91"/>
      <c r="D8" s="517"/>
      <c r="E8" s="605">
        <f t="shared" si="0"/>
        <v>292392493</v>
      </c>
      <c r="F8" s="517">
        <f>'Health-sanitation'!B84</f>
        <v>292392493</v>
      </c>
      <c r="G8" s="517">
        <f>'Resource Envelop'!F27</f>
        <v>350000000</v>
      </c>
      <c r="H8" s="517">
        <f>'Ward based rojects'!F8</f>
        <v>61402709.764432259</v>
      </c>
      <c r="I8" s="517">
        <f t="shared" si="1"/>
        <v>121598073.18000001</v>
      </c>
      <c r="J8" s="517">
        <f>'Health-sanitation'!B95</f>
        <v>533000782.94443226</v>
      </c>
      <c r="K8" s="517">
        <f t="shared" si="2"/>
        <v>825393275.94443226</v>
      </c>
      <c r="L8" s="517">
        <f t="shared" si="3"/>
        <v>825393275.94443226</v>
      </c>
      <c r="M8" s="633">
        <v>2115226949</v>
      </c>
      <c r="N8" s="639">
        <f t="shared" si="4"/>
        <v>-1289833673.0555677</v>
      </c>
    </row>
    <row r="9" spans="1:14">
      <c r="A9" s="91" t="s">
        <v>876</v>
      </c>
      <c r="B9" s="91"/>
      <c r="C9" s="91"/>
      <c r="D9" s="517"/>
      <c r="E9" s="605">
        <f t="shared" si="0"/>
        <v>1109823523.8497469</v>
      </c>
      <c r="F9" s="517">
        <f>'Health-sanitation'!B1275-250000000</f>
        <v>1109823523.8497469</v>
      </c>
      <c r="G9" s="517"/>
      <c r="H9" s="517"/>
      <c r="I9" s="517">
        <f t="shared" si="1"/>
        <v>250000000</v>
      </c>
      <c r="J9" s="517">
        <f>'Health-sanitation'!B1272</f>
        <v>250000000</v>
      </c>
      <c r="K9" s="517">
        <f t="shared" si="2"/>
        <v>1359823523.8497469</v>
      </c>
      <c r="L9" s="517">
        <f t="shared" si="3"/>
        <v>1359823523.8497469</v>
      </c>
      <c r="N9" s="639">
        <f t="shared" si="4"/>
        <v>1359823523.8497469</v>
      </c>
    </row>
    <row r="10" spans="1:14">
      <c r="A10" s="91" t="s">
        <v>592</v>
      </c>
      <c r="B10" s="91"/>
      <c r="C10" s="91"/>
      <c r="D10" s="517"/>
      <c r="E10" s="605">
        <f t="shared" si="0"/>
        <v>1368943.2320000001</v>
      </c>
      <c r="F10" s="517">
        <f>'Health-sanitation'!B123</f>
        <v>1368943.2320000001</v>
      </c>
      <c r="G10" s="517"/>
      <c r="H10" s="517"/>
      <c r="I10" s="517">
        <f t="shared" si="1"/>
        <v>0</v>
      </c>
      <c r="J10" s="517">
        <v>0</v>
      </c>
      <c r="K10" s="517">
        <f t="shared" si="2"/>
        <v>1368943.2320000001</v>
      </c>
      <c r="L10" s="517">
        <f t="shared" si="3"/>
        <v>1368943.2320000001</v>
      </c>
      <c r="M10" s="633">
        <v>1368943</v>
      </c>
      <c r="N10" s="639">
        <f t="shared" si="4"/>
        <v>0.23200000007636845</v>
      </c>
    </row>
    <row r="11" spans="1:14">
      <c r="A11" s="91" t="s">
        <v>410</v>
      </c>
      <c r="B11" s="91"/>
      <c r="C11" s="91"/>
      <c r="D11" s="517"/>
      <c r="E11" s="605">
        <f t="shared" si="0"/>
        <v>20318248</v>
      </c>
      <c r="F11" s="517">
        <f>Trade!B57</f>
        <v>20318248</v>
      </c>
      <c r="G11" s="517"/>
      <c r="H11" s="517">
        <f>'Ward based rojects'!F9</f>
        <v>56340690.127376013</v>
      </c>
      <c r="I11" s="517">
        <f t="shared" si="1"/>
        <v>97193857.340000004</v>
      </c>
      <c r="J11" s="517">
        <f>Trade!B63</f>
        <v>153534547.46737602</v>
      </c>
      <c r="K11" s="517">
        <f t="shared" si="2"/>
        <v>173852795.46737602</v>
      </c>
      <c r="L11" s="517">
        <f t="shared" si="3"/>
        <v>173852795.46737602</v>
      </c>
      <c r="M11" s="633">
        <v>304592207</v>
      </c>
      <c r="N11" s="639">
        <f t="shared" si="4"/>
        <v>-130739411.53262398</v>
      </c>
    </row>
    <row r="12" spans="1:14">
      <c r="A12" s="91" t="s">
        <v>877</v>
      </c>
      <c r="B12" s="91"/>
      <c r="C12" s="91"/>
      <c r="D12" s="517"/>
      <c r="E12" s="605">
        <f t="shared" si="0"/>
        <v>0</v>
      </c>
      <c r="F12" s="517">
        <f>Trade!B56</f>
        <v>0</v>
      </c>
      <c r="G12" s="517"/>
      <c r="H12" s="517"/>
      <c r="I12" s="517">
        <f t="shared" si="1"/>
        <v>0</v>
      </c>
      <c r="J12" s="517"/>
      <c r="K12" s="517">
        <f t="shared" si="2"/>
        <v>0</v>
      </c>
      <c r="L12" s="517">
        <f t="shared" si="3"/>
        <v>0</v>
      </c>
      <c r="N12" s="639">
        <f t="shared" si="4"/>
        <v>0</v>
      </c>
    </row>
    <row r="13" spans="1:14">
      <c r="A13" s="91" t="s">
        <v>878</v>
      </c>
      <c r="B13" s="91"/>
      <c r="C13" s="91"/>
      <c r="D13" s="517"/>
      <c r="E13" s="605">
        <f t="shared" si="0"/>
        <v>22483026</v>
      </c>
      <c r="F13" s="517">
        <f>Trade!B121</f>
        <v>22483026</v>
      </c>
      <c r="G13" s="517"/>
      <c r="H13" s="517"/>
      <c r="I13" s="517">
        <f t="shared" si="1"/>
        <v>9797679</v>
      </c>
      <c r="J13" s="517">
        <f>Trade!B129</f>
        <v>9797679</v>
      </c>
      <c r="K13" s="517">
        <f t="shared" si="2"/>
        <v>32280705</v>
      </c>
      <c r="L13" s="517">
        <f t="shared" si="3"/>
        <v>32280705</v>
      </c>
      <c r="N13" s="639">
        <f t="shared" si="4"/>
        <v>32280705</v>
      </c>
    </row>
    <row r="14" spans="1:14">
      <c r="A14" s="91" t="s">
        <v>420</v>
      </c>
      <c r="B14" s="91"/>
      <c r="C14" s="91"/>
      <c r="D14" s="517"/>
      <c r="E14" s="605">
        <f t="shared" si="0"/>
        <v>15615620</v>
      </c>
      <c r="F14" s="517">
        <f>Trade!B182</f>
        <v>15615620</v>
      </c>
      <c r="G14" s="517"/>
      <c r="H14" s="517"/>
      <c r="I14" s="517">
        <f t="shared" si="1"/>
        <v>40000000</v>
      </c>
      <c r="J14" s="517">
        <f>Trade!B187</f>
        <v>40000000</v>
      </c>
      <c r="K14" s="517">
        <f t="shared" si="2"/>
        <v>55615620</v>
      </c>
      <c r="L14" s="517">
        <f t="shared" si="3"/>
        <v>55615620</v>
      </c>
      <c r="N14" s="639">
        <f t="shared" si="4"/>
        <v>55615620</v>
      </c>
    </row>
    <row r="15" spans="1:14">
      <c r="A15" s="91" t="s">
        <v>879</v>
      </c>
      <c r="B15" s="91"/>
      <c r="C15" s="91"/>
      <c r="D15" s="517"/>
      <c r="E15" s="605">
        <f t="shared" si="0"/>
        <v>21815312</v>
      </c>
      <c r="F15" s="517">
        <f>Lands!B55</f>
        <v>21815312</v>
      </c>
      <c r="G15" s="517"/>
      <c r="H15" s="517">
        <f>'Ward based rojects'!F11</f>
        <v>19198635.457713321</v>
      </c>
      <c r="I15" s="517">
        <f t="shared" si="1"/>
        <v>106515212</v>
      </c>
      <c r="J15" s="517">
        <f>Lands!B64</f>
        <v>125713847.45771332</v>
      </c>
      <c r="K15" s="517">
        <f t="shared" si="2"/>
        <v>147529159.45771331</v>
      </c>
      <c r="L15" s="517">
        <f t="shared" si="3"/>
        <v>147529159.45771331</v>
      </c>
      <c r="M15" s="633">
        <v>164393278</v>
      </c>
      <c r="N15" s="639">
        <f t="shared" si="4"/>
        <v>-16864118.542286694</v>
      </c>
    </row>
    <row r="16" spans="1:14">
      <c r="A16" s="91" t="s">
        <v>824</v>
      </c>
      <c r="B16" s="91"/>
      <c r="C16" s="436">
        <f>17500000</f>
        <v>17500000</v>
      </c>
      <c r="D16" s="517"/>
      <c r="E16" s="605">
        <f t="shared" si="0"/>
        <v>39626098</v>
      </c>
      <c r="F16" s="517">
        <f>Lands!B113</f>
        <v>57126098</v>
      </c>
      <c r="G16" s="517">
        <f>'Resource Envelop'!F26</f>
        <v>297400190</v>
      </c>
      <c r="H16" s="517"/>
      <c r="I16" s="517">
        <f t="shared" si="1"/>
        <v>58357987</v>
      </c>
      <c r="J16" s="517">
        <f>Lands!B119</f>
        <v>355758177</v>
      </c>
      <c r="K16" s="517">
        <f t="shared" si="2"/>
        <v>412884275</v>
      </c>
      <c r="L16" s="517">
        <f t="shared" si="3"/>
        <v>412884275</v>
      </c>
      <c r="M16" s="633">
        <v>126143233</v>
      </c>
      <c r="N16" s="639">
        <f t="shared" si="4"/>
        <v>286741042</v>
      </c>
    </row>
    <row r="17" spans="1:15">
      <c r="A17" s="91" t="s">
        <v>880</v>
      </c>
      <c r="B17" s="436">
        <v>18985252</v>
      </c>
      <c r="C17" s="436">
        <f>17500000/2</f>
        <v>8750000</v>
      </c>
      <c r="D17" s="517"/>
      <c r="E17" s="605">
        <f t="shared" si="0"/>
        <v>20263119</v>
      </c>
      <c r="F17" s="517">
        <f>Lands!B180</f>
        <v>47998371</v>
      </c>
      <c r="G17" s="385">
        <v>55065924</v>
      </c>
      <c r="H17" s="517"/>
      <c r="I17" s="517">
        <f t="shared" si="1"/>
        <v>27326103</v>
      </c>
      <c r="J17" s="517">
        <f>Lands!B187</f>
        <v>82392027</v>
      </c>
      <c r="K17" s="517">
        <f t="shared" si="2"/>
        <v>130390398</v>
      </c>
      <c r="L17" s="517">
        <f t="shared" si="3"/>
        <v>130390398</v>
      </c>
      <c r="M17" s="633">
        <v>150390398</v>
      </c>
      <c r="N17" s="639">
        <f t="shared" si="4"/>
        <v>-20000000</v>
      </c>
    </row>
    <row r="18" spans="1:15">
      <c r="A18" s="91" t="s">
        <v>881</v>
      </c>
      <c r="B18" s="613">
        <v>27245790</v>
      </c>
      <c r="C18" s="436">
        <f>17500000/2</f>
        <v>8750000</v>
      </c>
      <c r="D18" s="517"/>
      <c r="E18" s="605">
        <f t="shared" si="0"/>
        <v>17533612.600000001</v>
      </c>
      <c r="F18" s="517">
        <f>Lands!B241</f>
        <v>53529402.600000001</v>
      </c>
      <c r="G18" s="385">
        <v>45368215</v>
      </c>
      <c r="H18" s="517"/>
      <c r="I18" s="517">
        <f t="shared" si="1"/>
        <v>21245616</v>
      </c>
      <c r="J18" s="517">
        <f>Lands!B250</f>
        <v>66613831</v>
      </c>
      <c r="K18" s="517">
        <f t="shared" si="2"/>
        <v>120143233.59999999</v>
      </c>
      <c r="L18" s="517">
        <f t="shared" si="3"/>
        <v>120143233.59999999</v>
      </c>
      <c r="M18" s="633">
        <v>458884275</v>
      </c>
      <c r="N18" s="639">
        <f t="shared" si="4"/>
        <v>-338741041.39999998</v>
      </c>
    </row>
    <row r="19" spans="1:15">
      <c r="A19" s="91" t="s">
        <v>882</v>
      </c>
      <c r="B19" s="436"/>
      <c r="D19" s="517"/>
      <c r="E19" s="605">
        <f t="shared" si="0"/>
        <v>41276524</v>
      </c>
      <c r="F19" s="517">
        <f>'Gender and Culture'!C56</f>
        <v>41276524</v>
      </c>
      <c r="G19" s="517"/>
      <c r="H19" s="517">
        <f>'Ward based rojects'!F12</f>
        <v>3889112.648293213</v>
      </c>
      <c r="I19" s="517">
        <f t="shared" si="1"/>
        <v>5509390.9999999991</v>
      </c>
      <c r="J19" s="517">
        <f>'Gender and Culture'!C71</f>
        <v>9398503.6482932121</v>
      </c>
      <c r="K19" s="517">
        <f t="shared" si="2"/>
        <v>50675027.648293212</v>
      </c>
      <c r="L19" s="517">
        <f t="shared" si="3"/>
        <v>50675027.648293212</v>
      </c>
      <c r="M19" s="633">
        <f>L19</f>
        <v>50675027.648293212</v>
      </c>
      <c r="N19" s="639">
        <f t="shared" si="4"/>
        <v>0</v>
      </c>
    </row>
    <row r="20" spans="1:15">
      <c r="A20" s="91" t="s">
        <v>855</v>
      </c>
      <c r="B20" s="91"/>
      <c r="C20" s="91"/>
      <c r="D20" s="517"/>
      <c r="E20" s="605">
        <f t="shared" si="0"/>
        <v>0</v>
      </c>
      <c r="F20" s="517"/>
      <c r="G20" s="517"/>
      <c r="H20" s="517"/>
      <c r="I20" s="517">
        <f t="shared" si="1"/>
        <v>0</v>
      </c>
      <c r="J20" s="517">
        <f>'Gender and Culture'!C67/2</f>
        <v>0</v>
      </c>
      <c r="K20" s="517">
        <f t="shared" si="2"/>
        <v>0</v>
      </c>
      <c r="L20" s="517">
        <f t="shared" si="3"/>
        <v>0</v>
      </c>
      <c r="M20" s="639">
        <f>L20</f>
        <v>0</v>
      </c>
      <c r="N20" s="639">
        <f t="shared" si="4"/>
        <v>0</v>
      </c>
    </row>
    <row r="21" spans="1:15">
      <c r="A21" s="91" t="s">
        <v>883</v>
      </c>
      <c r="B21" s="91"/>
      <c r="C21" s="91"/>
      <c r="D21" s="517"/>
      <c r="E21" s="605">
        <f t="shared" si="0"/>
        <v>0</v>
      </c>
      <c r="F21" s="517"/>
      <c r="G21" s="517"/>
      <c r="H21" s="517"/>
      <c r="I21" s="517">
        <f t="shared" si="1"/>
        <v>0</v>
      </c>
      <c r="J21" s="517">
        <f>'Gender and Culture'!C67/2</f>
        <v>0</v>
      </c>
      <c r="K21" s="517">
        <f t="shared" si="2"/>
        <v>0</v>
      </c>
      <c r="L21" s="517">
        <f t="shared" si="3"/>
        <v>0</v>
      </c>
      <c r="M21" s="639">
        <f>L21</f>
        <v>0</v>
      </c>
      <c r="N21" s="639">
        <f t="shared" si="4"/>
        <v>0</v>
      </c>
    </row>
    <row r="22" spans="1:15">
      <c r="A22" s="91" t="s">
        <v>884</v>
      </c>
      <c r="B22" s="91"/>
      <c r="C22" s="91"/>
      <c r="D22" s="517"/>
      <c r="E22" s="605">
        <f t="shared" si="0"/>
        <v>37492241</v>
      </c>
      <c r="F22" s="517">
        <f>'Gender and Culture'!C127</f>
        <v>37492241</v>
      </c>
      <c r="G22" s="517"/>
      <c r="H22" s="517"/>
      <c r="I22" s="517">
        <f t="shared" si="1"/>
        <v>0</v>
      </c>
      <c r="J22" s="517"/>
      <c r="K22" s="517">
        <f t="shared" si="2"/>
        <v>37492241</v>
      </c>
      <c r="L22" s="611">
        <f t="shared" si="3"/>
        <v>37492241</v>
      </c>
      <c r="M22" s="633">
        <f>L22</f>
        <v>37492241</v>
      </c>
      <c r="N22" s="639">
        <f t="shared" si="4"/>
        <v>0</v>
      </c>
    </row>
    <row r="23" spans="1:15">
      <c r="A23" s="91" t="s">
        <v>857</v>
      </c>
      <c r="B23" s="91"/>
      <c r="C23" s="91"/>
      <c r="D23" s="517"/>
      <c r="E23" s="605">
        <f t="shared" si="0"/>
        <v>0</v>
      </c>
      <c r="F23" s="517"/>
      <c r="G23" s="517"/>
      <c r="H23" s="517"/>
      <c r="I23" s="517">
        <f t="shared" si="1"/>
        <v>28235369</v>
      </c>
      <c r="J23" s="517">
        <f>'Gender and Culture'!C141</f>
        <v>28235369</v>
      </c>
      <c r="K23" s="517">
        <f t="shared" si="2"/>
        <v>28235369</v>
      </c>
      <c r="L23" s="611">
        <f t="shared" si="3"/>
        <v>28235369</v>
      </c>
      <c r="M23" s="633">
        <f>L23</f>
        <v>28235369</v>
      </c>
      <c r="N23" s="639">
        <f t="shared" si="4"/>
        <v>0</v>
      </c>
    </row>
    <row r="24" spans="1:15">
      <c r="A24" s="91" t="s">
        <v>885</v>
      </c>
      <c r="B24" s="613">
        <f>Assembly!B6</f>
        <v>527013567</v>
      </c>
      <c r="C24" s="91"/>
      <c r="D24" s="517"/>
      <c r="E24" s="605">
        <f t="shared" si="0"/>
        <v>439947872</v>
      </c>
      <c r="F24" s="606">
        <v>966961439</v>
      </c>
      <c r="G24" s="606"/>
      <c r="H24" s="606"/>
      <c r="I24" s="517">
        <f t="shared" si="1"/>
        <v>199500000</v>
      </c>
      <c r="J24" s="517">
        <f>Assembly!B99</f>
        <v>199500000</v>
      </c>
      <c r="K24" s="517">
        <f t="shared" si="2"/>
        <v>1166461439</v>
      </c>
      <c r="L24" s="517">
        <f t="shared" si="3"/>
        <v>1166461439</v>
      </c>
      <c r="M24" s="633">
        <v>1116961439</v>
      </c>
      <c r="N24" s="639">
        <f t="shared" si="4"/>
        <v>49500000</v>
      </c>
    </row>
    <row r="25" spans="1:15">
      <c r="A25" s="91" t="s">
        <v>886</v>
      </c>
      <c r="B25" s="91"/>
      <c r="C25" s="91"/>
      <c r="D25" s="517"/>
      <c r="E25" s="605">
        <f t="shared" si="0"/>
        <v>274174197</v>
      </c>
      <c r="F25" s="517">
        <f>Finance!C351</f>
        <v>274174197</v>
      </c>
      <c r="G25" s="517"/>
      <c r="H25" s="517"/>
      <c r="I25" s="517">
        <f t="shared" si="1"/>
        <v>231000000</v>
      </c>
      <c r="J25" s="517">
        <f>Finance!C370</f>
        <v>231000000</v>
      </c>
      <c r="K25" s="517">
        <f t="shared" si="2"/>
        <v>505174197</v>
      </c>
      <c r="L25" s="517">
        <f t="shared" si="3"/>
        <v>505174197</v>
      </c>
      <c r="M25" s="633">
        <v>428788236</v>
      </c>
      <c r="N25" s="639">
        <f t="shared" si="4"/>
        <v>76385961</v>
      </c>
    </row>
    <row r="26" spans="1:15">
      <c r="A26" s="91" t="s">
        <v>887</v>
      </c>
      <c r="B26" s="91"/>
      <c r="C26" s="91"/>
      <c r="D26" s="517"/>
      <c r="E26" s="605">
        <f t="shared" si="0"/>
        <v>40686784</v>
      </c>
      <c r="F26" s="517">
        <f>CPSB!B40</f>
        <v>40686784</v>
      </c>
      <c r="G26" s="517"/>
      <c r="H26" s="517"/>
      <c r="I26" s="517">
        <f t="shared" si="1"/>
        <v>13232215</v>
      </c>
      <c r="J26" s="517">
        <f>CPSB!B45</f>
        <v>13232215</v>
      </c>
      <c r="K26" s="517">
        <f t="shared" si="2"/>
        <v>53918999</v>
      </c>
      <c r="L26" s="517">
        <f t="shared" si="3"/>
        <v>53918999</v>
      </c>
      <c r="M26" s="633">
        <v>53918999</v>
      </c>
      <c r="N26" s="639">
        <f t="shared" si="4"/>
        <v>0</v>
      </c>
    </row>
    <row r="27" spans="1:15">
      <c r="A27" s="91" t="s">
        <v>888</v>
      </c>
      <c r="B27" s="91"/>
      <c r="C27" s="91"/>
      <c r="D27" s="517"/>
      <c r="E27" s="605">
        <f t="shared" si="0"/>
        <v>177205250</v>
      </c>
      <c r="F27" s="517">
        <f>Gov!B72+Gov!B93+Gov!B127</f>
        <v>177205250</v>
      </c>
      <c r="G27" s="517"/>
      <c r="H27" s="517"/>
      <c r="I27" s="517">
        <f t="shared" si="1"/>
        <v>0</v>
      </c>
      <c r="J27" s="517"/>
      <c r="K27" s="517">
        <f t="shared" si="2"/>
        <v>177205250</v>
      </c>
      <c r="L27" s="611">
        <f t="shared" si="3"/>
        <v>177205250</v>
      </c>
      <c r="M27" s="633">
        <v>191705250</v>
      </c>
      <c r="N27" s="639">
        <f t="shared" si="4"/>
        <v>-14500000</v>
      </c>
    </row>
    <row r="28" spans="1:15">
      <c r="A28" s="91" t="s">
        <v>889</v>
      </c>
      <c r="B28" s="91"/>
      <c r="C28" s="91"/>
      <c r="D28" s="517"/>
      <c r="E28" s="605">
        <f t="shared" si="0"/>
        <v>40408450</v>
      </c>
      <c r="F28" s="517">
        <f>Gov!B183</f>
        <v>40408450</v>
      </c>
      <c r="G28" s="517"/>
      <c r="H28" s="517"/>
      <c r="I28" s="517">
        <f t="shared" si="1"/>
        <v>0</v>
      </c>
      <c r="J28" s="517"/>
      <c r="K28" s="517">
        <f t="shared" si="2"/>
        <v>40408450</v>
      </c>
      <c r="L28" s="611">
        <f t="shared" si="3"/>
        <v>40408450</v>
      </c>
      <c r="M28" s="633">
        <v>40408450</v>
      </c>
      <c r="N28" s="639">
        <f t="shared" si="4"/>
        <v>0</v>
      </c>
    </row>
    <row r="29" spans="1:15">
      <c r="A29" s="91" t="s">
        <v>890</v>
      </c>
      <c r="B29" s="607"/>
      <c r="C29" s="606">
        <f>'Resource Envelop'!F22</f>
        <v>37500000</v>
      </c>
      <c r="D29" s="517">
        <f>'P Admin'!B56</f>
        <v>399000000</v>
      </c>
      <c r="E29" s="605">
        <f t="shared" si="0"/>
        <v>125648857</v>
      </c>
      <c r="F29" s="517">
        <f>'P Admin'!B84+'P Admin'!B122</f>
        <v>562148857</v>
      </c>
      <c r="G29" s="517">
        <f>'Resource Envelop'!F23</f>
        <v>352500000</v>
      </c>
      <c r="H29" s="517"/>
      <c r="I29" s="517">
        <f t="shared" si="1"/>
        <v>0</v>
      </c>
      <c r="J29" s="517">
        <f>'P Admin'!B141</f>
        <v>352500000</v>
      </c>
      <c r="K29" s="517">
        <f t="shared" si="2"/>
        <v>914648857</v>
      </c>
      <c r="L29" s="611">
        <f t="shared" si="3"/>
        <v>914648857</v>
      </c>
      <c r="M29" s="633">
        <v>736872357</v>
      </c>
      <c r="N29" s="639">
        <f t="shared" si="4"/>
        <v>177776500</v>
      </c>
    </row>
    <row r="30" spans="1:15">
      <c r="A30" s="91" t="s">
        <v>891</v>
      </c>
      <c r="B30" s="613"/>
      <c r="C30" s="436"/>
      <c r="D30" s="517"/>
      <c r="E30" s="605">
        <f t="shared" si="0"/>
        <v>8472553</v>
      </c>
      <c r="F30" s="517">
        <f>'P Admin'!B133</f>
        <v>8472553</v>
      </c>
      <c r="G30" s="517"/>
      <c r="H30" s="517"/>
      <c r="I30" s="517">
        <f t="shared" si="1"/>
        <v>0</v>
      </c>
      <c r="J30" s="517"/>
      <c r="K30" s="517">
        <f t="shared" si="2"/>
        <v>8472553</v>
      </c>
      <c r="L30" s="611">
        <f t="shared" si="3"/>
        <v>8472553</v>
      </c>
      <c r="M30" s="633">
        <v>8472553</v>
      </c>
      <c r="N30" s="639">
        <f t="shared" si="4"/>
        <v>0</v>
      </c>
      <c r="O30" s="513">
        <v>23212889</v>
      </c>
    </row>
    <row r="31" spans="1:15">
      <c r="A31" s="91" t="s">
        <v>892</v>
      </c>
      <c r="B31" s="436">
        <f>'P Admin'!B146</f>
        <v>7281333658</v>
      </c>
      <c r="C31" s="91"/>
      <c r="D31" s="517"/>
      <c r="E31" s="605">
        <f t="shared" si="0"/>
        <v>94014907.004664421</v>
      </c>
      <c r="F31" s="517">
        <f>'P Admin'!B220+'P Admin'!B232+'P Admin'!B243+'P Admin'!B312</f>
        <v>7375348565.0046644</v>
      </c>
      <c r="G31" s="517"/>
      <c r="H31" s="517"/>
      <c r="I31" s="517">
        <f t="shared" si="1"/>
        <v>0</v>
      </c>
      <c r="J31" s="517"/>
      <c r="K31" s="517">
        <f t="shared" si="2"/>
        <v>7375348565.0046644</v>
      </c>
      <c r="L31" s="517">
        <f t="shared" si="3"/>
        <v>7375348565.0046644</v>
      </c>
      <c r="M31" s="633">
        <f>6737634538+O30</f>
        <v>6760847427</v>
      </c>
      <c r="N31" s="639">
        <f t="shared" si="4"/>
        <v>614501138.00466442</v>
      </c>
    </row>
    <row r="32" spans="1:15">
      <c r="A32" s="518" t="s">
        <v>893</v>
      </c>
      <c r="B32" s="517">
        <f>SUM(B3:B31)</f>
        <v>7854578267</v>
      </c>
      <c r="C32" s="517">
        <f t="shared" ref="C32:J32" si="5">SUM(C3:C31)</f>
        <v>72500000</v>
      </c>
      <c r="D32" s="517">
        <f t="shared" si="5"/>
        <v>739899006</v>
      </c>
      <c r="E32" s="517">
        <f t="shared" si="5"/>
        <v>3067967778.3264112</v>
      </c>
      <c r="F32" s="517">
        <f t="shared" si="5"/>
        <v>11734945051.326412</v>
      </c>
      <c r="G32" s="517">
        <f t="shared" si="5"/>
        <v>2047160898</v>
      </c>
      <c r="H32" s="517">
        <f t="shared" si="5"/>
        <v>1327500000.0000002</v>
      </c>
      <c r="I32" s="517">
        <f t="shared" si="1"/>
        <v>1800187790.6500006</v>
      </c>
      <c r="J32" s="517">
        <f t="shared" si="5"/>
        <v>5174848688.6500006</v>
      </c>
      <c r="K32" s="517">
        <f t="shared" si="2"/>
        <v>16909793739.976414</v>
      </c>
      <c r="L32" s="517">
        <f t="shared" ref="L32" si="6">SUM(L3:L31)</f>
        <v>16909793739.976414</v>
      </c>
      <c r="N32" s="639">
        <f t="shared" si="4"/>
        <v>16909793739.976414</v>
      </c>
    </row>
    <row r="33" spans="1:14">
      <c r="A33" s="91" t="s">
        <v>894</v>
      </c>
      <c r="B33" s="608">
        <f t="shared" ref="B33:H33" si="7">B32/$L$32*100</f>
        <v>46.449876253848124</v>
      </c>
      <c r="C33" s="608">
        <f t="shared" si="7"/>
        <v>0.4287456199338664</v>
      </c>
      <c r="D33" s="517">
        <f t="shared" si="7"/>
        <v>4.3755649381506414</v>
      </c>
      <c r="E33" s="608">
        <f t="shared" si="7"/>
        <v>18.143141338699088</v>
      </c>
      <c r="F33" s="608">
        <f t="shared" si="7"/>
        <v>69.397328150631722</v>
      </c>
      <c r="G33" s="608">
        <f t="shared" si="7"/>
        <v>12.106362321619041</v>
      </c>
      <c r="H33" s="608">
        <f t="shared" si="7"/>
        <v>7.8504801443063128</v>
      </c>
      <c r="I33" s="608"/>
      <c r="J33" s="608">
        <f>J32/$L$32*100</f>
        <v>30.602671849368274</v>
      </c>
      <c r="K33" s="614"/>
      <c r="L33" s="614">
        <f>L32/$L$32</f>
        <v>1</v>
      </c>
      <c r="N33" s="639">
        <f t="shared" si="4"/>
        <v>1</v>
      </c>
    </row>
    <row r="34" spans="1:14">
      <c r="A34" s="609"/>
      <c r="B34" s="609"/>
      <c r="C34" s="609"/>
      <c r="E34" s="609"/>
      <c r="G34" s="513">
        <f>C32+G32</f>
        <v>2119660898</v>
      </c>
    </row>
    <row r="35" spans="1:14" s="630" customFormat="1">
      <c r="A35" s="681" t="s">
        <v>1027</v>
      </c>
      <c r="D35" s="633"/>
      <c r="F35" s="633"/>
      <c r="G35" s="633"/>
      <c r="H35" s="633"/>
      <c r="I35" s="633"/>
      <c r="J35" s="633"/>
      <c r="K35" s="633">
        <f>K32-'Resource Envelop'!F43</f>
        <v>-2.3586273193359375E-2</v>
      </c>
      <c r="L35" s="633"/>
    </row>
    <row r="36" spans="1:14" s="630" customFormat="1">
      <c r="A36" s="630" t="s">
        <v>1028</v>
      </c>
      <c r="B36" s="682">
        <v>8436953181</v>
      </c>
      <c r="D36" s="633"/>
      <c r="F36" s="633">
        <v>11689916874.776413</v>
      </c>
      <c r="G36" s="633"/>
      <c r="H36" s="633"/>
      <c r="I36" s="633"/>
      <c r="J36" s="633"/>
      <c r="K36" s="633"/>
      <c r="L36" s="633"/>
    </row>
    <row r="37" spans="1:14" s="630" customFormat="1">
      <c r="A37" s="630" t="s">
        <v>1029</v>
      </c>
      <c r="B37" s="683">
        <f>B36/L32</f>
        <v>0.49893885819873801</v>
      </c>
      <c r="D37" s="633"/>
      <c r="F37" s="633">
        <f>F32-F36</f>
        <v>45028176.549999237</v>
      </c>
      <c r="G37" s="633"/>
      <c r="H37" s="633"/>
      <c r="I37" s="633"/>
      <c r="J37" s="633"/>
      <c r="K37" s="633">
        <f>K32-'Resource Envelop'!F43</f>
        <v>-2.3586273193359375E-2</v>
      </c>
      <c r="L37" s="633"/>
    </row>
    <row r="38" spans="1:14" s="630" customFormat="1">
      <c r="D38" s="633"/>
      <c r="F38" s="633" t="s">
        <v>1100</v>
      </c>
      <c r="G38" s="633"/>
      <c r="H38" s="633"/>
      <c r="I38" s="633"/>
      <c r="J38" s="633"/>
      <c r="K38" s="633"/>
      <c r="L38" s="633"/>
    </row>
    <row r="39" spans="1:14" s="630" customFormat="1">
      <c r="D39" s="633"/>
      <c r="F39" s="633"/>
      <c r="G39" s="633"/>
      <c r="H39" s="633"/>
      <c r="I39" s="633"/>
      <c r="J39" s="633"/>
      <c r="K39" s="633"/>
      <c r="L39" s="633"/>
    </row>
    <row r="40" spans="1:14" s="630" customFormat="1">
      <c r="B40" s="631">
        <f>0.3*K32</f>
        <v>5072938121.9929237</v>
      </c>
      <c r="D40" s="633"/>
      <c r="F40" s="633"/>
      <c r="G40" s="633"/>
      <c r="H40" s="633"/>
      <c r="I40" s="633"/>
      <c r="J40" s="633"/>
      <c r="K40" s="633"/>
      <c r="L40" s="633"/>
    </row>
    <row r="41" spans="1:14" s="630" customFormat="1">
      <c r="B41" s="631">
        <f>B40-J32</f>
        <v>-101910566.65707684</v>
      </c>
      <c r="D41" s="633"/>
      <c r="F41" s="633"/>
      <c r="G41" s="633"/>
      <c r="H41" s="633"/>
      <c r="I41" s="633"/>
      <c r="J41" s="633"/>
      <c r="K41" s="633"/>
      <c r="L41" s="633"/>
    </row>
    <row r="42" spans="1:14" s="630" customFormat="1">
      <c r="D42" s="633"/>
      <c r="F42" s="633"/>
      <c r="G42" s="633"/>
      <c r="H42" s="633"/>
      <c r="I42" s="633"/>
      <c r="J42" s="633"/>
      <c r="K42" s="633"/>
      <c r="L42" s="63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6"/>
  <sheetViews>
    <sheetView topLeftCell="C18" zoomScale="150" zoomScaleNormal="150" workbookViewId="0">
      <selection activeCell="H11" sqref="H11"/>
    </sheetView>
  </sheetViews>
  <sheetFormatPr defaultColWidth="9.08984375" defaultRowHeight="14"/>
  <cols>
    <col min="1" max="1" width="6.7265625" style="90" customWidth="1"/>
    <col min="2" max="2" width="26.1796875" style="90" customWidth="1"/>
    <col min="3" max="3" width="18.6328125" style="90" customWidth="1"/>
    <col min="4" max="4" width="20" style="90" customWidth="1"/>
    <col min="5" max="5" width="18.6328125" style="90" customWidth="1"/>
    <col min="6" max="6" width="21.08984375" style="90" customWidth="1"/>
    <col min="7" max="7" width="21.6328125" style="90" customWidth="1"/>
    <col min="8" max="16384" width="9.08984375" style="90"/>
  </cols>
  <sheetData>
    <row r="4" spans="1:6" ht="46.5">
      <c r="A4" s="464" t="s">
        <v>899</v>
      </c>
      <c r="B4" s="464" t="s">
        <v>900</v>
      </c>
      <c r="C4" s="464" t="s">
        <v>901</v>
      </c>
      <c r="D4" s="464" t="s">
        <v>902</v>
      </c>
      <c r="E4" s="464" t="s">
        <v>903</v>
      </c>
      <c r="F4" s="619" t="s">
        <v>1204</v>
      </c>
    </row>
    <row r="5" spans="1:6" ht="15.5">
      <c r="A5" s="465">
        <v>1</v>
      </c>
      <c r="B5" s="466" t="s">
        <v>904</v>
      </c>
      <c r="C5" s="465">
        <v>59.072212399999998</v>
      </c>
      <c r="D5" s="467">
        <v>658835827</v>
      </c>
      <c r="E5" s="467">
        <v>531649911.56999999</v>
      </c>
      <c r="F5" s="461">
        <f>E5/$E$13*$E$19</f>
        <v>677853637.25928175</v>
      </c>
    </row>
    <row r="6" spans="1:6" ht="15.5">
      <c r="A6" s="465">
        <v>2</v>
      </c>
      <c r="B6" s="465" t="s">
        <v>905</v>
      </c>
      <c r="C6" s="465">
        <v>7.7808254830000001</v>
      </c>
      <c r="D6" s="467">
        <v>86780000</v>
      </c>
      <c r="E6" s="467">
        <v>70027429.349999994</v>
      </c>
      <c r="F6" s="461">
        <f>E6/$E$13*$E$19+180000000</f>
        <v>269284972.42224205</v>
      </c>
    </row>
    <row r="7" spans="1:6" ht="15.5">
      <c r="A7" s="465">
        <v>3</v>
      </c>
      <c r="B7" s="466" t="s">
        <v>873</v>
      </c>
      <c r="C7" s="465">
        <v>10.67599551</v>
      </c>
      <c r="D7" s="467">
        <v>119070000</v>
      </c>
      <c r="E7" s="467">
        <v>96083959.579999998</v>
      </c>
      <c r="F7" s="461">
        <f t="shared" ref="F7:F12" si="0">E7/$E$13*$E$19</f>
        <v>122507048.4658612</v>
      </c>
    </row>
    <row r="8" spans="1:6" ht="15.5">
      <c r="A8" s="465">
        <v>4</v>
      </c>
      <c r="B8" s="465" t="s">
        <v>906</v>
      </c>
      <c r="C8" s="465">
        <v>5.3509986730000003</v>
      </c>
      <c r="D8" s="467">
        <v>59680000</v>
      </c>
      <c r="E8" s="467">
        <v>48158988.049999997</v>
      </c>
      <c r="F8" s="461">
        <f t="shared" si="0"/>
        <v>61402709.764432259</v>
      </c>
    </row>
    <row r="9" spans="1:6" ht="15.5">
      <c r="A9" s="465">
        <v>5</v>
      </c>
      <c r="B9" s="465" t="s">
        <v>907</v>
      </c>
      <c r="C9" s="465">
        <v>4.9098640639999998</v>
      </c>
      <c r="D9" s="467">
        <v>54760000</v>
      </c>
      <c r="E9" s="467">
        <v>44188776.57</v>
      </c>
      <c r="F9" s="461">
        <f t="shared" si="0"/>
        <v>56340690.127376013</v>
      </c>
    </row>
    <row r="10" spans="1:6" ht="15.5">
      <c r="A10" s="465">
        <v>6</v>
      </c>
      <c r="B10" s="465" t="s">
        <v>908</v>
      </c>
      <c r="C10" s="465">
        <v>10.19809968</v>
      </c>
      <c r="D10" s="467">
        <v>113740000</v>
      </c>
      <c r="E10" s="467">
        <v>91782897.140000001</v>
      </c>
      <c r="F10" s="461">
        <f t="shared" si="0"/>
        <v>117023193.85480027</v>
      </c>
    </row>
    <row r="11" spans="1:6" ht="15.5">
      <c r="A11" s="465">
        <v>7</v>
      </c>
      <c r="B11" s="465" t="s">
        <v>909</v>
      </c>
      <c r="C11" s="465">
        <v>1.6730837000000001</v>
      </c>
      <c r="D11" s="467">
        <v>18660000</v>
      </c>
      <c r="E11" s="467">
        <v>15057753.300000001</v>
      </c>
      <c r="F11" s="461">
        <f t="shared" si="0"/>
        <v>19198635.457713321</v>
      </c>
    </row>
    <row r="12" spans="1:6" ht="15.5">
      <c r="A12" s="465">
        <v>8</v>
      </c>
      <c r="B12" s="465" t="s">
        <v>910</v>
      </c>
      <c r="C12" s="465">
        <v>0.33892049200000002</v>
      </c>
      <c r="D12" s="467">
        <v>3780000</v>
      </c>
      <c r="E12" s="467">
        <v>3050284.43</v>
      </c>
      <c r="F12" s="461">
        <f t="shared" si="0"/>
        <v>3889112.648293213</v>
      </c>
    </row>
    <row r="13" spans="1:6" ht="15.5">
      <c r="A13" s="468"/>
      <c r="B13" s="464" t="s">
        <v>825</v>
      </c>
      <c r="C13" s="464">
        <v>100</v>
      </c>
      <c r="D13" s="469">
        <f>SUM(D5:D12)</f>
        <v>1115305827</v>
      </c>
      <c r="E13" s="618">
        <f t="shared" ref="E13:F13" si="1">SUM(E5:E12)</f>
        <v>899999999.98999989</v>
      </c>
      <c r="F13" s="469">
        <f t="shared" si="1"/>
        <v>1327500000.0000002</v>
      </c>
    </row>
    <row r="14" spans="1:6" s="684" customFormat="1"/>
    <row r="15" spans="1:6" s="684" customFormat="1">
      <c r="E15" s="684">
        <f>F13/45</f>
        <v>29500000.000000004</v>
      </c>
      <c r="F15" s="684">
        <f>4000000*45</f>
        <v>180000000</v>
      </c>
    </row>
    <row r="16" spans="1:6" s="684" customFormat="1">
      <c r="F16" s="685">
        <f>F13+F15</f>
        <v>1507500000.0000002</v>
      </c>
    </row>
    <row r="17" spans="5:6" s="684" customFormat="1">
      <c r="E17" s="686">
        <f>5500000*45</f>
        <v>247500000</v>
      </c>
    </row>
    <row r="18" spans="5:6" s="684" customFormat="1"/>
    <row r="19" spans="5:6" s="684" customFormat="1">
      <c r="E19" s="690">
        <v>1147500000</v>
      </c>
    </row>
    <row r="20" spans="5:6" s="684" customFormat="1">
      <c r="F20" s="687">
        <f>F13/45</f>
        <v>29500000.000000004</v>
      </c>
    </row>
    <row r="21" spans="5:6" s="684" customFormat="1">
      <c r="E21" s="684">
        <v>1091612250.5</v>
      </c>
      <c r="F21" s="687">
        <f>4000000</f>
        <v>4000000</v>
      </c>
    </row>
    <row r="22" spans="5:6" s="684" customFormat="1">
      <c r="F22" s="688">
        <f>SUM(F20:F21)</f>
        <v>33500000.000000004</v>
      </c>
    </row>
    <row r="23" spans="5:6" s="684" customFormat="1">
      <c r="E23" s="689">
        <f>E21+E17</f>
        <v>1339112250.5</v>
      </c>
    </row>
    <row r="24" spans="5:6" s="684" customFormat="1">
      <c r="E24" s="689">
        <f>E23-49000000</f>
        <v>1290112250.5</v>
      </c>
    </row>
    <row r="25" spans="5:6" s="684" customFormat="1">
      <c r="F25" s="685">
        <f>E19/45</f>
        <v>25500000</v>
      </c>
    </row>
    <row r="26" spans="5:6" s="684" customFormat="1"/>
  </sheetData>
  <pageMargins left="0.7" right="0.7" top="0.75" bottom="0.75" header="0.3" footer="0.3"/>
  <pageSetup paperSize="9" scale="78" orientation="portrait" horizontalDpi="4294967295" verticalDpi="4294967295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2"/>
  <sheetViews>
    <sheetView zoomScaleNormal="100" workbookViewId="0">
      <selection activeCell="I13" sqref="I13"/>
    </sheetView>
  </sheetViews>
  <sheetFormatPr defaultColWidth="9.08984375" defaultRowHeight="15.5"/>
  <cols>
    <col min="1" max="1" width="41.6328125" style="498" customWidth="1"/>
    <col min="2" max="2" width="14.1796875" style="513" customWidth="1"/>
    <col min="3" max="3" width="15.6328125" style="513" customWidth="1"/>
    <col min="4" max="4" width="17.453125" style="513" customWidth="1"/>
    <col min="5" max="5" width="17.453125" style="633" customWidth="1"/>
    <col min="6" max="6" width="17" style="633" customWidth="1"/>
    <col min="7" max="7" width="9.08984375" style="630"/>
    <col min="8" max="16384" width="9.08984375" style="498"/>
  </cols>
  <sheetData>
    <row r="2" spans="1:7" s="499" customFormat="1">
      <c r="A2" s="514" t="s">
        <v>1167</v>
      </c>
      <c r="B2" s="515" t="s">
        <v>895</v>
      </c>
      <c r="C2" s="515" t="s">
        <v>372</v>
      </c>
      <c r="D2" s="515" t="s">
        <v>825</v>
      </c>
      <c r="E2" s="691"/>
      <c r="F2" s="692" t="s">
        <v>1168</v>
      </c>
      <c r="G2" s="693"/>
    </row>
    <row r="3" spans="1:7">
      <c r="A3" s="516" t="s">
        <v>871</v>
      </c>
      <c r="B3" s="517"/>
      <c r="C3" s="517">
        <f>Agriculture.!B94+Agriculture.!B272+Agriculture.!B375</f>
        <v>22720014</v>
      </c>
      <c r="D3" s="517">
        <f>B3+C3</f>
        <v>22720014</v>
      </c>
      <c r="E3" s="694"/>
    </row>
    <row r="4" spans="1:7">
      <c r="A4" s="516" t="s">
        <v>872</v>
      </c>
      <c r="B4" s="517"/>
      <c r="C4" s="517">
        <f>'Tourism- Water'!B54</f>
        <v>0</v>
      </c>
      <c r="D4" s="517">
        <f t="shared" ref="D4:D31" si="0">B4+C4</f>
        <v>0</v>
      </c>
      <c r="E4" s="694"/>
    </row>
    <row r="5" spans="1:7">
      <c r="A5" s="516" t="s">
        <v>873</v>
      </c>
      <c r="B5" s="517"/>
      <c r="C5" s="517">
        <f>'Tourism- Water'!B113</f>
        <v>36083146.539999999</v>
      </c>
      <c r="D5" s="517">
        <f t="shared" si="0"/>
        <v>36083146.539999999</v>
      </c>
      <c r="E5" s="694"/>
      <c r="F5" s="633">
        <v>30000000</v>
      </c>
    </row>
    <row r="6" spans="1:7">
      <c r="A6" s="516" t="s">
        <v>874</v>
      </c>
      <c r="B6" s="517">
        <f>Road!B43</f>
        <v>0</v>
      </c>
      <c r="C6" s="517">
        <f>Road!B68</f>
        <v>136174210</v>
      </c>
      <c r="D6" s="517">
        <f t="shared" si="0"/>
        <v>136174210</v>
      </c>
      <c r="E6" s="694"/>
      <c r="F6" s="633">
        <v>100000000</v>
      </c>
    </row>
    <row r="7" spans="1:7">
      <c r="A7" s="516" t="s">
        <v>875</v>
      </c>
      <c r="B7" s="517"/>
      <c r="C7" s="517">
        <f>Education!B38</f>
        <v>24382131.59</v>
      </c>
      <c r="D7" s="517">
        <f t="shared" si="0"/>
        <v>24382131.59</v>
      </c>
      <c r="E7" s="694"/>
    </row>
    <row r="8" spans="1:7">
      <c r="A8" s="516" t="s">
        <v>822</v>
      </c>
      <c r="B8" s="517"/>
      <c r="C8" s="517">
        <f>'Health-sanitation'!B92</f>
        <v>50437301.68</v>
      </c>
      <c r="D8" s="517">
        <f t="shared" si="0"/>
        <v>50437301.68</v>
      </c>
      <c r="E8" s="694"/>
    </row>
    <row r="9" spans="1:7">
      <c r="A9" s="516" t="s">
        <v>876</v>
      </c>
      <c r="B9" s="517"/>
      <c r="C9" s="517"/>
      <c r="D9" s="517">
        <f t="shared" si="0"/>
        <v>0</v>
      </c>
      <c r="E9" s="694"/>
    </row>
    <row r="10" spans="1:7">
      <c r="A10" s="516" t="s">
        <v>592</v>
      </c>
      <c r="B10" s="517"/>
      <c r="C10" s="517"/>
      <c r="D10" s="517">
        <f t="shared" si="0"/>
        <v>0</v>
      </c>
      <c r="E10" s="694"/>
    </row>
    <row r="11" spans="1:7">
      <c r="A11" s="516" t="s">
        <v>410</v>
      </c>
      <c r="B11" s="517"/>
      <c r="C11" s="517">
        <f>Trade!B62</f>
        <v>40083915.340000004</v>
      </c>
      <c r="D11" s="517">
        <f t="shared" si="0"/>
        <v>40083915.340000004</v>
      </c>
      <c r="E11" s="694"/>
    </row>
    <row r="12" spans="1:7">
      <c r="A12" s="516" t="s">
        <v>877</v>
      </c>
      <c r="B12" s="517"/>
      <c r="C12" s="517"/>
      <c r="D12" s="517">
        <f t="shared" si="0"/>
        <v>0</v>
      </c>
      <c r="E12" s="694"/>
    </row>
    <row r="13" spans="1:7">
      <c r="A13" s="516" t="s">
        <v>878</v>
      </c>
      <c r="B13" s="517"/>
      <c r="C13" s="517"/>
      <c r="D13" s="517">
        <f t="shared" si="0"/>
        <v>0</v>
      </c>
      <c r="E13" s="694"/>
    </row>
    <row r="14" spans="1:7">
      <c r="A14" s="516" t="s">
        <v>420</v>
      </c>
      <c r="B14" s="517">
        <f>Trade!B176</f>
        <v>3839581</v>
      </c>
      <c r="C14" s="517"/>
      <c r="D14" s="517">
        <f t="shared" si="0"/>
        <v>3839581</v>
      </c>
      <c r="E14" s="694"/>
    </row>
    <row r="15" spans="1:7">
      <c r="A15" s="516" t="s">
        <v>879</v>
      </c>
      <c r="B15" s="517"/>
      <c r="C15" s="517">
        <f>Lands!B62</f>
        <v>47921042</v>
      </c>
      <c r="D15" s="517">
        <f t="shared" si="0"/>
        <v>47921042</v>
      </c>
      <c r="E15" s="694"/>
    </row>
    <row r="16" spans="1:7">
      <c r="A16" s="516" t="s">
        <v>824</v>
      </c>
      <c r="B16" s="517"/>
      <c r="C16" s="517"/>
      <c r="D16" s="517">
        <f t="shared" si="0"/>
        <v>0</v>
      </c>
      <c r="E16" s="694"/>
    </row>
    <row r="17" spans="1:7">
      <c r="A17" s="516" t="s">
        <v>880</v>
      </c>
      <c r="B17" s="517"/>
      <c r="C17" s="513">
        <f>Lands!B186</f>
        <v>10000000</v>
      </c>
      <c r="D17" s="517">
        <f t="shared" si="0"/>
        <v>10000000</v>
      </c>
      <c r="E17" s="694"/>
    </row>
    <row r="18" spans="1:7">
      <c r="A18" s="516" t="s">
        <v>881</v>
      </c>
      <c r="B18" s="517"/>
      <c r="C18" s="517">
        <f>Lands!B249</f>
        <v>19470707</v>
      </c>
      <c r="D18" s="517">
        <f t="shared" si="0"/>
        <v>19470707</v>
      </c>
      <c r="E18" s="694"/>
    </row>
    <row r="19" spans="1:7">
      <c r="A19" s="516" t="s">
        <v>882</v>
      </c>
      <c r="B19" s="517">
        <f>'Gender and Culture'!C120</f>
        <v>4169092</v>
      </c>
      <c r="C19" s="517"/>
      <c r="D19" s="517">
        <f t="shared" si="0"/>
        <v>4169092</v>
      </c>
      <c r="E19" s="694"/>
    </row>
    <row r="20" spans="1:7">
      <c r="A20" s="516" t="s">
        <v>855</v>
      </c>
      <c r="B20" s="517"/>
      <c r="C20" s="517"/>
      <c r="D20" s="517">
        <f t="shared" si="0"/>
        <v>0</v>
      </c>
      <c r="E20" s="694"/>
    </row>
    <row r="21" spans="1:7">
      <c r="A21" s="516" t="s">
        <v>883</v>
      </c>
      <c r="B21" s="517"/>
      <c r="C21" s="517"/>
      <c r="D21" s="517">
        <f t="shared" si="0"/>
        <v>0</v>
      </c>
      <c r="E21" s="694"/>
    </row>
    <row r="22" spans="1:7">
      <c r="A22" s="516" t="s">
        <v>884</v>
      </c>
      <c r="B22" s="517"/>
      <c r="C22" s="517"/>
      <c r="D22" s="517">
        <f t="shared" si="0"/>
        <v>0</v>
      </c>
      <c r="E22" s="694"/>
    </row>
    <row r="23" spans="1:7">
      <c r="A23" s="516" t="s">
        <v>857</v>
      </c>
      <c r="B23" s="517">
        <f>'Gender and Culture'!C41</f>
        <v>6528492</v>
      </c>
      <c r="C23" s="517">
        <f>'Gender and Culture'!C138</f>
        <v>27015369</v>
      </c>
      <c r="D23" s="517">
        <f t="shared" si="0"/>
        <v>33543861</v>
      </c>
      <c r="E23" s="694"/>
    </row>
    <row r="24" spans="1:7">
      <c r="A24" s="516" t="s">
        <v>885</v>
      </c>
      <c r="B24" s="517"/>
      <c r="C24" s="517"/>
      <c r="D24" s="517">
        <f t="shared" si="0"/>
        <v>0</v>
      </c>
      <c r="E24" s="694"/>
    </row>
    <row r="25" spans="1:7">
      <c r="A25" s="516" t="s">
        <v>886</v>
      </c>
      <c r="B25" s="517"/>
      <c r="C25" s="517"/>
      <c r="D25" s="517">
        <f t="shared" si="0"/>
        <v>0</v>
      </c>
      <c r="E25" s="694"/>
    </row>
    <row r="26" spans="1:7">
      <c r="A26" s="516" t="s">
        <v>887</v>
      </c>
      <c r="B26" s="517"/>
      <c r="C26" s="517"/>
      <c r="D26" s="517">
        <f t="shared" si="0"/>
        <v>0</v>
      </c>
      <c r="E26" s="694"/>
    </row>
    <row r="27" spans="1:7">
      <c r="A27" s="516" t="s">
        <v>888</v>
      </c>
      <c r="B27" s="517">
        <f>Gov!B71</f>
        <v>18000000</v>
      </c>
      <c r="C27" s="517"/>
      <c r="D27" s="517">
        <f t="shared" si="0"/>
        <v>18000000</v>
      </c>
      <c r="E27" s="694"/>
    </row>
    <row r="28" spans="1:7">
      <c r="A28" s="516" t="s">
        <v>889</v>
      </c>
      <c r="B28" s="517"/>
      <c r="C28" s="517"/>
      <c r="D28" s="517">
        <f t="shared" si="0"/>
        <v>0</v>
      </c>
      <c r="E28" s="694"/>
    </row>
    <row r="29" spans="1:7">
      <c r="A29" s="516" t="s">
        <v>890</v>
      </c>
      <c r="B29" s="517">
        <f>'P Admin'!B82</f>
        <v>15109045</v>
      </c>
      <c r="C29" s="517"/>
      <c r="D29" s="517">
        <f t="shared" si="0"/>
        <v>15109045</v>
      </c>
      <c r="E29" s="694"/>
    </row>
    <row r="30" spans="1:7">
      <c r="A30" s="516" t="s">
        <v>891</v>
      </c>
      <c r="B30" s="517"/>
      <c r="C30" s="517"/>
      <c r="D30" s="517">
        <f t="shared" si="0"/>
        <v>0</v>
      </c>
      <c r="E30" s="694"/>
    </row>
    <row r="31" spans="1:7">
      <c r="A31" s="516" t="s">
        <v>892</v>
      </c>
      <c r="B31" s="517">
        <f>'P Admin'!B293+Salary!D20+Salary!G20</f>
        <v>448729703</v>
      </c>
      <c r="C31" s="517"/>
      <c r="D31" s="517">
        <f t="shared" si="0"/>
        <v>448729703</v>
      </c>
      <c r="E31" s="694"/>
      <c r="F31" s="633">
        <v>50000000</v>
      </c>
    </row>
    <row r="32" spans="1:7" s="499" customFormat="1">
      <c r="A32" s="518" t="s">
        <v>825</v>
      </c>
      <c r="B32" s="515">
        <f>SUM(B3:B31)</f>
        <v>496375913</v>
      </c>
      <c r="C32" s="515">
        <f t="shared" ref="C32:D32" si="1">SUM(C3:C31)</f>
        <v>414287837.14999998</v>
      </c>
      <c r="D32" s="515">
        <f t="shared" si="1"/>
        <v>910663750.14999998</v>
      </c>
      <c r="E32" s="691"/>
      <c r="F32" s="692">
        <f>SUM(F3:F31)</f>
        <v>180000000</v>
      </c>
      <c r="G32" s="693"/>
    </row>
  </sheetData>
  <pageMargins left="0.7" right="0.7" top="0.75" bottom="0.75" header="0.3" footer="0.3"/>
  <pageSetup paperSize="9" scale="98" orientation="portrait" horizontalDpi="4294967295" verticalDpi="4294967295" r:id="rId1"/>
  <colBreaks count="1" manualBreakCount="1">
    <brk id="5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09"/>
  <sheetViews>
    <sheetView topLeftCell="A345" zoomScale="120" zoomScaleNormal="120" workbookViewId="0">
      <selection activeCell="B305" sqref="B305"/>
    </sheetView>
  </sheetViews>
  <sheetFormatPr defaultColWidth="9.08984375" defaultRowHeight="15.5"/>
  <cols>
    <col min="1" max="1" width="48.90625" style="340" customWidth="1"/>
    <col min="2" max="2" width="20.90625" style="111" customWidth="1"/>
    <col min="3" max="3" width="17" style="111" customWidth="1"/>
    <col min="4" max="4" width="20.453125" style="111" customWidth="1"/>
    <col min="5" max="5" width="20" style="432" customWidth="1"/>
    <col min="6" max="6" width="15.6328125" style="111" customWidth="1"/>
    <col min="7" max="16384" width="9.08984375" style="111"/>
  </cols>
  <sheetData>
    <row r="1" spans="1:5" ht="37" customHeight="1">
      <c r="A1" s="712" t="s">
        <v>572</v>
      </c>
      <c r="B1" s="712"/>
      <c r="C1" s="712"/>
      <c r="D1" s="712"/>
    </row>
    <row r="2" spans="1:5">
      <c r="A2" s="300" t="s">
        <v>423</v>
      </c>
      <c r="B2" s="338"/>
      <c r="C2" s="338"/>
      <c r="D2" s="338"/>
    </row>
    <row r="3" spans="1:5" ht="31">
      <c r="A3" s="82" t="s">
        <v>160</v>
      </c>
      <c r="B3" s="323" t="s">
        <v>424</v>
      </c>
      <c r="C3" s="323" t="s">
        <v>425</v>
      </c>
      <c r="D3" s="323" t="s">
        <v>426</v>
      </c>
      <c r="E3" s="452" t="s">
        <v>1033</v>
      </c>
    </row>
    <row r="4" spans="1:5">
      <c r="A4" s="300" t="s">
        <v>427</v>
      </c>
      <c r="B4" s="324">
        <f>B5</f>
        <v>0</v>
      </c>
      <c r="C4" s="324">
        <f t="shared" ref="C4:D14" si="0">B4*1.05</f>
        <v>0</v>
      </c>
      <c r="D4" s="324">
        <f t="shared" si="0"/>
        <v>0</v>
      </c>
    </row>
    <row r="5" spans="1:5">
      <c r="A5" s="310" t="s">
        <v>428</v>
      </c>
      <c r="B5" s="325"/>
      <c r="C5" s="325">
        <f t="shared" si="0"/>
        <v>0</v>
      </c>
      <c r="D5" s="325">
        <f t="shared" si="0"/>
        <v>0</v>
      </c>
    </row>
    <row r="6" spans="1:5" s="445" customFormat="1" ht="31">
      <c r="A6" s="442" t="s">
        <v>429</v>
      </c>
      <c r="B6" s="443">
        <f>B7</f>
        <v>0</v>
      </c>
      <c r="C6" s="443">
        <f t="shared" si="0"/>
        <v>0</v>
      </c>
      <c r="D6" s="443">
        <f t="shared" si="0"/>
        <v>0</v>
      </c>
      <c r="E6" s="444"/>
    </row>
    <row r="7" spans="1:5" s="445" customFormat="1">
      <c r="A7" s="446" t="s">
        <v>430</v>
      </c>
      <c r="B7" s="447"/>
      <c r="C7" s="447">
        <f t="shared" si="0"/>
        <v>0</v>
      </c>
      <c r="D7" s="447">
        <f t="shared" si="0"/>
        <v>0</v>
      </c>
      <c r="E7" s="444"/>
    </row>
    <row r="8" spans="1:5" s="445" customFormat="1">
      <c r="A8" s="442" t="s">
        <v>189</v>
      </c>
      <c r="B8" s="443">
        <f>B9+B10</f>
        <v>678000</v>
      </c>
      <c r="C8" s="443">
        <f t="shared" si="0"/>
        <v>711900</v>
      </c>
      <c r="D8" s="443">
        <f t="shared" si="0"/>
        <v>747495</v>
      </c>
      <c r="E8" s="444"/>
    </row>
    <row r="9" spans="1:5" s="445" customFormat="1">
      <c r="A9" s="446" t="s">
        <v>431</v>
      </c>
      <c r="B9" s="448">
        <v>478320</v>
      </c>
      <c r="C9" s="447">
        <f t="shared" si="0"/>
        <v>502236</v>
      </c>
      <c r="D9" s="447">
        <f t="shared" si="0"/>
        <v>527347.80000000005</v>
      </c>
      <c r="E9" s="444"/>
    </row>
    <row r="10" spans="1:5" s="445" customFormat="1">
      <c r="A10" s="446" t="s">
        <v>432</v>
      </c>
      <c r="B10" s="448">
        <v>199680</v>
      </c>
      <c r="C10" s="447">
        <f t="shared" si="0"/>
        <v>209664</v>
      </c>
      <c r="D10" s="447">
        <f t="shared" si="0"/>
        <v>220147.20000000001</v>
      </c>
      <c r="E10" s="444"/>
    </row>
    <row r="11" spans="1:5" s="445" customFormat="1" ht="31">
      <c r="A11" s="442" t="s">
        <v>324</v>
      </c>
      <c r="B11" s="443">
        <f>B12+B13+B14</f>
        <v>163200</v>
      </c>
      <c r="C11" s="443">
        <f t="shared" si="0"/>
        <v>171360</v>
      </c>
      <c r="D11" s="443">
        <f t="shared" si="0"/>
        <v>179928</v>
      </c>
      <c r="E11" s="444"/>
    </row>
    <row r="12" spans="1:5" s="445" customFormat="1">
      <c r="A12" s="449" t="s">
        <v>433</v>
      </c>
      <c r="B12" s="448">
        <f>-432000+432000</f>
        <v>0</v>
      </c>
      <c r="C12" s="447">
        <f t="shared" si="0"/>
        <v>0</v>
      </c>
      <c r="D12" s="447">
        <f t="shared" si="0"/>
        <v>0</v>
      </c>
      <c r="E12" s="444"/>
    </row>
    <row r="13" spans="1:5" s="445" customFormat="1">
      <c r="A13" s="446" t="s">
        <v>434</v>
      </c>
      <c r="B13" s="448">
        <v>91200</v>
      </c>
      <c r="C13" s="447">
        <f t="shared" si="0"/>
        <v>95760</v>
      </c>
      <c r="D13" s="447">
        <f t="shared" si="0"/>
        <v>100548</v>
      </c>
      <c r="E13" s="444"/>
    </row>
    <row r="14" spans="1:5" s="445" customFormat="1">
      <c r="A14" s="446" t="s">
        <v>253</v>
      </c>
      <c r="B14" s="448">
        <v>72000</v>
      </c>
      <c r="C14" s="447">
        <f t="shared" si="0"/>
        <v>75600</v>
      </c>
      <c r="D14" s="447">
        <f t="shared" si="0"/>
        <v>79380</v>
      </c>
      <c r="E14" s="444"/>
    </row>
    <row r="15" spans="1:5" ht="31">
      <c r="A15" s="300" t="s">
        <v>191</v>
      </c>
      <c r="B15" s="324">
        <f>B16+B17+B18+B19+B20</f>
        <v>13994290</v>
      </c>
      <c r="C15" s="324">
        <f t="shared" ref="C15:E15" si="1">C16+C17+C18+C19+C20</f>
        <v>14694004.5</v>
      </c>
      <c r="D15" s="324">
        <f t="shared" si="1"/>
        <v>15428704.725</v>
      </c>
      <c r="E15" s="324">
        <f t="shared" si="1"/>
        <v>13994290</v>
      </c>
    </row>
    <row r="16" spans="1:5">
      <c r="A16" s="310" t="s">
        <v>435</v>
      </c>
      <c r="B16" s="326">
        <v>286000</v>
      </c>
      <c r="C16" s="325">
        <f t="shared" ref="C16:D35" si="2">B16*1.05</f>
        <v>300300</v>
      </c>
      <c r="D16" s="325">
        <f t="shared" si="2"/>
        <v>315315</v>
      </c>
      <c r="E16" s="432">
        <v>286000</v>
      </c>
    </row>
    <row r="17" spans="1:5">
      <c r="A17" s="310" t="s">
        <v>436</v>
      </c>
      <c r="B17" s="326">
        <v>220450</v>
      </c>
      <c r="C17" s="325">
        <f t="shared" si="2"/>
        <v>231472.5</v>
      </c>
      <c r="D17" s="325">
        <f t="shared" si="2"/>
        <v>243046.125</v>
      </c>
      <c r="E17" s="432">
        <v>220450</v>
      </c>
    </row>
    <row r="18" spans="1:5" ht="31">
      <c r="A18" s="310" t="s">
        <v>437</v>
      </c>
      <c r="B18" s="326">
        <v>513175</v>
      </c>
      <c r="C18" s="325">
        <f t="shared" si="2"/>
        <v>538833.75</v>
      </c>
      <c r="D18" s="325">
        <f t="shared" si="2"/>
        <v>565775.4375</v>
      </c>
      <c r="E18" s="432">
        <v>513175</v>
      </c>
    </row>
    <row r="19" spans="1:5">
      <c r="A19" s="298" t="s">
        <v>254</v>
      </c>
      <c r="B19" s="326">
        <v>5296750</v>
      </c>
      <c r="C19" s="325">
        <f t="shared" si="2"/>
        <v>5561587.5</v>
      </c>
      <c r="D19" s="325">
        <f t="shared" si="2"/>
        <v>5839666.875</v>
      </c>
      <c r="E19" s="432">
        <v>5296750</v>
      </c>
    </row>
    <row r="20" spans="1:5">
      <c r="A20" s="298" t="s">
        <v>438</v>
      </c>
      <c r="B20" s="326">
        <v>7677915</v>
      </c>
      <c r="C20" s="325">
        <f t="shared" si="2"/>
        <v>8061810.75</v>
      </c>
      <c r="D20" s="325">
        <f t="shared" si="2"/>
        <v>8464901.2874999996</v>
      </c>
      <c r="E20" s="432">
        <v>7677915</v>
      </c>
    </row>
    <row r="21" spans="1:5" ht="31">
      <c r="A21" s="300" t="s">
        <v>439</v>
      </c>
      <c r="B21" s="324">
        <f>B22+B23+B24</f>
        <v>0</v>
      </c>
      <c r="C21" s="324">
        <f t="shared" si="2"/>
        <v>0</v>
      </c>
      <c r="D21" s="324">
        <f t="shared" si="2"/>
        <v>0</v>
      </c>
      <c r="E21" s="432">
        <f t="shared" ref="E21:E24" si="3">B21/2</f>
        <v>0</v>
      </c>
    </row>
    <row r="22" spans="1:5" ht="31">
      <c r="A22" s="310" t="s">
        <v>440</v>
      </c>
      <c r="B22" s="325">
        <v>0</v>
      </c>
      <c r="C22" s="325">
        <f t="shared" si="2"/>
        <v>0</v>
      </c>
      <c r="D22" s="325">
        <f t="shared" si="2"/>
        <v>0</v>
      </c>
      <c r="E22" s="432">
        <f t="shared" si="3"/>
        <v>0</v>
      </c>
    </row>
    <row r="23" spans="1:5">
      <c r="A23" s="310" t="s">
        <v>441</v>
      </c>
      <c r="B23" s="325">
        <v>0</v>
      </c>
      <c r="C23" s="325">
        <f t="shared" si="2"/>
        <v>0</v>
      </c>
      <c r="D23" s="325">
        <f t="shared" si="2"/>
        <v>0</v>
      </c>
      <c r="E23" s="432">
        <f t="shared" si="3"/>
        <v>0</v>
      </c>
    </row>
    <row r="24" spans="1:5">
      <c r="A24" s="310" t="s">
        <v>442</v>
      </c>
      <c r="B24" s="325">
        <v>0</v>
      </c>
      <c r="C24" s="325">
        <f t="shared" si="2"/>
        <v>0</v>
      </c>
      <c r="D24" s="325">
        <f t="shared" si="2"/>
        <v>0</v>
      </c>
      <c r="E24" s="432">
        <f t="shared" si="3"/>
        <v>0</v>
      </c>
    </row>
    <row r="25" spans="1:5" s="445" customFormat="1" ht="31">
      <c r="A25" s="442" t="s">
        <v>195</v>
      </c>
      <c r="B25" s="443">
        <f>B26+B27+B28+B29</f>
        <v>535000</v>
      </c>
      <c r="C25" s="443">
        <f t="shared" ref="C25:D29" si="4">B25*1.05</f>
        <v>561750</v>
      </c>
      <c r="D25" s="443">
        <f t="shared" si="4"/>
        <v>589837.5</v>
      </c>
      <c r="E25" s="444"/>
    </row>
    <row r="26" spans="1:5" s="445" customFormat="1">
      <c r="A26" s="450" t="s">
        <v>233</v>
      </c>
      <c r="B26" s="448">
        <v>300000</v>
      </c>
      <c r="C26" s="447">
        <f t="shared" si="4"/>
        <v>315000</v>
      </c>
      <c r="D26" s="447">
        <f t="shared" si="4"/>
        <v>330750</v>
      </c>
      <c r="E26" s="444"/>
    </row>
    <row r="27" spans="1:5" s="445" customFormat="1" ht="31">
      <c r="A27" s="450" t="s">
        <v>255</v>
      </c>
      <c r="B27" s="448">
        <v>0</v>
      </c>
      <c r="C27" s="447">
        <f t="shared" si="4"/>
        <v>0</v>
      </c>
      <c r="D27" s="447">
        <f t="shared" si="4"/>
        <v>0</v>
      </c>
      <c r="E27" s="444"/>
    </row>
    <row r="28" spans="1:5" s="445" customFormat="1" ht="31">
      <c r="A28" s="450" t="s">
        <v>196</v>
      </c>
      <c r="B28" s="448">
        <v>140000</v>
      </c>
      <c r="C28" s="447">
        <f t="shared" si="4"/>
        <v>147000</v>
      </c>
      <c r="D28" s="447">
        <f t="shared" si="4"/>
        <v>154350</v>
      </c>
      <c r="E28" s="444"/>
    </row>
    <row r="29" spans="1:5" s="445" customFormat="1">
      <c r="A29" s="450" t="s">
        <v>328</v>
      </c>
      <c r="B29" s="448">
        <v>95000</v>
      </c>
      <c r="C29" s="447">
        <f t="shared" si="4"/>
        <v>99750</v>
      </c>
      <c r="D29" s="447">
        <f t="shared" si="4"/>
        <v>104737.5</v>
      </c>
      <c r="E29" s="444"/>
    </row>
    <row r="30" spans="1:5">
      <c r="A30" s="300" t="s">
        <v>256</v>
      </c>
      <c r="B30" s="324">
        <f>B31+B32</f>
        <v>0</v>
      </c>
      <c r="C30" s="324">
        <f t="shared" si="2"/>
        <v>0</v>
      </c>
      <c r="D30" s="324">
        <f t="shared" si="2"/>
        <v>0</v>
      </c>
    </row>
    <row r="31" spans="1:5">
      <c r="A31" s="310" t="s">
        <v>257</v>
      </c>
      <c r="B31" s="325">
        <v>0</v>
      </c>
      <c r="C31" s="325">
        <f t="shared" si="2"/>
        <v>0</v>
      </c>
      <c r="D31" s="325">
        <f t="shared" si="2"/>
        <v>0</v>
      </c>
    </row>
    <row r="32" spans="1:5">
      <c r="A32" s="310" t="s">
        <v>443</v>
      </c>
      <c r="B32" s="326">
        <v>0</v>
      </c>
      <c r="C32" s="325">
        <f t="shared" si="2"/>
        <v>0</v>
      </c>
      <c r="D32" s="325">
        <f t="shared" si="2"/>
        <v>0</v>
      </c>
    </row>
    <row r="33" spans="1:5">
      <c r="A33" s="300" t="s">
        <v>329</v>
      </c>
      <c r="B33" s="324">
        <f>B34+B35+B36+B37+B38+B39+B40+B41</f>
        <v>1540000</v>
      </c>
      <c r="C33" s="324">
        <f t="shared" ref="C33:D33" si="5">C34+C35+C36+C37+C38+C39+C40+C41</f>
        <v>1617000</v>
      </c>
      <c r="D33" s="324">
        <f t="shared" si="5"/>
        <v>1697850</v>
      </c>
      <c r="E33" s="324"/>
    </row>
    <row r="34" spans="1:5">
      <c r="A34" s="310" t="s">
        <v>259</v>
      </c>
      <c r="B34" s="326">
        <v>0</v>
      </c>
      <c r="C34" s="325">
        <f t="shared" si="2"/>
        <v>0</v>
      </c>
      <c r="D34" s="325">
        <f t="shared" si="2"/>
        <v>0</v>
      </c>
    </row>
    <row r="35" spans="1:5" ht="31">
      <c r="A35" s="310" t="s">
        <v>294</v>
      </c>
      <c r="B35" s="325">
        <v>0</v>
      </c>
      <c r="C35" s="325">
        <f t="shared" si="2"/>
        <v>0</v>
      </c>
      <c r="D35" s="325">
        <f t="shared" si="2"/>
        <v>0</v>
      </c>
    </row>
    <row r="36" spans="1:5" ht="31">
      <c r="A36" s="310" t="s">
        <v>295</v>
      </c>
      <c r="B36" s="325">
        <v>807500</v>
      </c>
      <c r="C36" s="325">
        <f t="shared" ref="C36:D55" si="6">B36*1.05</f>
        <v>847875</v>
      </c>
      <c r="D36" s="325">
        <f t="shared" si="6"/>
        <v>890268.75</v>
      </c>
    </row>
    <row r="37" spans="1:5">
      <c r="A37" s="310" t="s">
        <v>289</v>
      </c>
      <c r="B37" s="325">
        <v>0</v>
      </c>
      <c r="C37" s="325">
        <f t="shared" si="6"/>
        <v>0</v>
      </c>
      <c r="D37" s="325">
        <f t="shared" si="6"/>
        <v>0</v>
      </c>
    </row>
    <row r="38" spans="1:5">
      <c r="A38" s="310" t="s">
        <v>444</v>
      </c>
      <c r="B38" s="326">
        <v>0</v>
      </c>
      <c r="C38" s="325">
        <f t="shared" si="6"/>
        <v>0</v>
      </c>
      <c r="D38" s="325">
        <f t="shared" si="6"/>
        <v>0</v>
      </c>
    </row>
    <row r="39" spans="1:5">
      <c r="A39" s="310" t="s">
        <v>445</v>
      </c>
      <c r="B39" s="326">
        <v>0</v>
      </c>
      <c r="C39" s="325">
        <f t="shared" si="6"/>
        <v>0</v>
      </c>
      <c r="D39" s="325">
        <f t="shared" si="6"/>
        <v>0</v>
      </c>
    </row>
    <row r="40" spans="1:5">
      <c r="A40" s="310" t="s">
        <v>446</v>
      </c>
      <c r="B40" s="326">
        <f>-450000+450000</f>
        <v>0</v>
      </c>
      <c r="C40" s="325">
        <f t="shared" si="6"/>
        <v>0</v>
      </c>
      <c r="D40" s="325">
        <f t="shared" si="6"/>
        <v>0</v>
      </c>
    </row>
    <row r="41" spans="1:5">
      <c r="A41" s="310" t="s">
        <v>447</v>
      </c>
      <c r="B41" s="326">
        <f>-1000000+1732500</f>
        <v>732500</v>
      </c>
      <c r="C41" s="325">
        <f t="shared" si="6"/>
        <v>769125</v>
      </c>
      <c r="D41" s="325">
        <f t="shared" si="6"/>
        <v>807581.25</v>
      </c>
    </row>
    <row r="42" spans="1:5">
      <c r="A42" s="300" t="s">
        <v>200</v>
      </c>
      <c r="B42" s="324">
        <f>B43+B44</f>
        <v>3412890</v>
      </c>
      <c r="C42" s="324">
        <f t="shared" ref="C42:D42" si="7">C43+C44</f>
        <v>3583534.5</v>
      </c>
      <c r="D42" s="324">
        <f t="shared" si="7"/>
        <v>3762711.2250000006</v>
      </c>
      <c r="E42" s="324"/>
    </row>
    <row r="43" spans="1:5" ht="31">
      <c r="A43" s="310" t="s">
        <v>201</v>
      </c>
      <c r="B43" s="326">
        <f>1578810-500000</f>
        <v>1078810</v>
      </c>
      <c r="C43" s="325">
        <f t="shared" si="6"/>
        <v>1132750.5</v>
      </c>
      <c r="D43" s="325">
        <f t="shared" si="6"/>
        <v>1189388.0250000001</v>
      </c>
    </row>
    <row r="44" spans="1:5" ht="31">
      <c r="A44" s="310" t="s">
        <v>202</v>
      </c>
      <c r="B44" s="326">
        <f>3834080-1500000</f>
        <v>2334080</v>
      </c>
      <c r="C44" s="325">
        <f t="shared" si="6"/>
        <v>2450784</v>
      </c>
      <c r="D44" s="325">
        <f t="shared" si="6"/>
        <v>2573323.2000000002</v>
      </c>
    </row>
    <row r="45" spans="1:5" s="445" customFormat="1">
      <c r="A45" s="442" t="s">
        <v>448</v>
      </c>
      <c r="B45" s="443">
        <f>B46+B47+B48</f>
        <v>1081250</v>
      </c>
      <c r="C45" s="443">
        <f t="shared" si="6"/>
        <v>1135312.5</v>
      </c>
      <c r="D45" s="443">
        <f t="shared" si="6"/>
        <v>1192078.125</v>
      </c>
      <c r="E45" s="444"/>
    </row>
    <row r="46" spans="1:5" s="445" customFormat="1" ht="31">
      <c r="A46" s="446" t="s">
        <v>449</v>
      </c>
      <c r="B46" s="447">
        <v>300000</v>
      </c>
      <c r="C46" s="447">
        <f t="shared" si="6"/>
        <v>315000</v>
      </c>
      <c r="D46" s="447">
        <f t="shared" si="6"/>
        <v>330750</v>
      </c>
      <c r="E46" s="444"/>
    </row>
    <row r="47" spans="1:5" s="445" customFormat="1">
      <c r="A47" s="446" t="s">
        <v>262</v>
      </c>
      <c r="B47" s="448">
        <v>781250</v>
      </c>
      <c r="C47" s="447">
        <f t="shared" si="6"/>
        <v>820312.5</v>
      </c>
      <c r="D47" s="447">
        <f t="shared" si="6"/>
        <v>861328.125</v>
      </c>
      <c r="E47" s="444"/>
    </row>
    <row r="48" spans="1:5" s="445" customFormat="1">
      <c r="A48" s="446" t="s">
        <v>450</v>
      </c>
      <c r="B48" s="447">
        <v>0</v>
      </c>
      <c r="C48" s="447">
        <f t="shared" si="6"/>
        <v>0</v>
      </c>
      <c r="D48" s="447">
        <f t="shared" si="6"/>
        <v>0</v>
      </c>
      <c r="E48" s="444"/>
    </row>
    <row r="49" spans="1:5">
      <c r="A49" s="300" t="s">
        <v>290</v>
      </c>
      <c r="B49" s="324">
        <f>B50+B51+B52+B53+B54+B55+B56</f>
        <v>0</v>
      </c>
      <c r="C49" s="324">
        <f t="shared" si="6"/>
        <v>0</v>
      </c>
      <c r="D49" s="324">
        <f t="shared" si="6"/>
        <v>0</v>
      </c>
    </row>
    <row r="50" spans="1:5">
      <c r="A50" s="310" t="s">
        <v>451</v>
      </c>
      <c r="B50" s="325">
        <v>0</v>
      </c>
      <c r="C50" s="325">
        <f t="shared" si="6"/>
        <v>0</v>
      </c>
      <c r="D50" s="325">
        <f t="shared" si="6"/>
        <v>0</v>
      </c>
    </row>
    <row r="51" spans="1:5" ht="31">
      <c r="A51" s="310" t="s">
        <v>452</v>
      </c>
      <c r="B51" s="326">
        <v>0</v>
      </c>
      <c r="C51" s="325">
        <f t="shared" si="6"/>
        <v>0</v>
      </c>
      <c r="D51" s="325">
        <f t="shared" si="6"/>
        <v>0</v>
      </c>
    </row>
    <row r="52" spans="1:5" ht="31">
      <c r="A52" s="310" t="s">
        <v>453</v>
      </c>
      <c r="B52" s="325">
        <v>0</v>
      </c>
      <c r="C52" s="325">
        <f t="shared" si="6"/>
        <v>0</v>
      </c>
      <c r="D52" s="325">
        <f t="shared" si="6"/>
        <v>0</v>
      </c>
    </row>
    <row r="53" spans="1:5">
      <c r="A53" s="310" t="s">
        <v>454</v>
      </c>
      <c r="B53" s="325">
        <v>0</v>
      </c>
      <c r="C53" s="325">
        <f t="shared" si="6"/>
        <v>0</v>
      </c>
      <c r="D53" s="325">
        <f t="shared" si="6"/>
        <v>0</v>
      </c>
    </row>
    <row r="54" spans="1:5" ht="31">
      <c r="A54" s="310" t="s">
        <v>291</v>
      </c>
      <c r="B54" s="326">
        <v>0</v>
      </c>
      <c r="C54" s="325">
        <f t="shared" si="6"/>
        <v>0</v>
      </c>
      <c r="D54" s="325">
        <f t="shared" si="6"/>
        <v>0</v>
      </c>
    </row>
    <row r="55" spans="1:5">
      <c r="A55" s="310" t="s">
        <v>455</v>
      </c>
      <c r="B55" s="325">
        <v>0</v>
      </c>
      <c r="C55" s="325">
        <f t="shared" si="6"/>
        <v>0</v>
      </c>
      <c r="D55" s="325">
        <f t="shared" si="6"/>
        <v>0</v>
      </c>
    </row>
    <row r="56" spans="1:5">
      <c r="A56" s="310" t="s">
        <v>456</v>
      </c>
      <c r="B56" s="325">
        <v>0</v>
      </c>
      <c r="C56" s="325">
        <f t="shared" ref="C56:D75" si="8">B56*1.05</f>
        <v>0</v>
      </c>
      <c r="D56" s="325">
        <f t="shared" si="8"/>
        <v>0</v>
      </c>
    </row>
    <row r="57" spans="1:5" ht="31">
      <c r="A57" s="300" t="s">
        <v>205</v>
      </c>
      <c r="B57" s="324">
        <f>B58+B59+B60</f>
        <v>869205</v>
      </c>
      <c r="C57" s="324">
        <f t="shared" si="8"/>
        <v>912665.25</v>
      </c>
      <c r="D57" s="324">
        <f t="shared" si="8"/>
        <v>958298.51250000007</v>
      </c>
      <c r="E57" s="451"/>
    </row>
    <row r="58" spans="1:5" ht="31">
      <c r="A58" s="310" t="s">
        <v>333</v>
      </c>
      <c r="B58" s="326">
        <v>497905</v>
      </c>
      <c r="C58" s="325">
        <f t="shared" si="8"/>
        <v>522800.25</v>
      </c>
      <c r="D58" s="325">
        <f t="shared" si="8"/>
        <v>548940.26250000007</v>
      </c>
    </row>
    <row r="59" spans="1:5" ht="31">
      <c r="A59" s="310" t="s">
        <v>263</v>
      </c>
      <c r="B59" s="326">
        <v>223000</v>
      </c>
      <c r="C59" s="325">
        <f t="shared" si="8"/>
        <v>234150</v>
      </c>
      <c r="D59" s="325">
        <f t="shared" si="8"/>
        <v>245857.5</v>
      </c>
    </row>
    <row r="60" spans="1:5" ht="31">
      <c r="A60" s="310" t="s">
        <v>207</v>
      </c>
      <c r="B60" s="326">
        <v>148300</v>
      </c>
      <c r="C60" s="325">
        <f t="shared" si="8"/>
        <v>155715</v>
      </c>
      <c r="D60" s="325">
        <f t="shared" si="8"/>
        <v>163500.75</v>
      </c>
    </row>
    <row r="61" spans="1:5" s="445" customFormat="1">
      <c r="A61" s="442" t="s">
        <v>208</v>
      </c>
      <c r="B61" s="443">
        <f>B62</f>
        <v>1309400</v>
      </c>
      <c r="C61" s="443">
        <f t="shared" si="8"/>
        <v>1374870</v>
      </c>
      <c r="D61" s="443">
        <f t="shared" si="8"/>
        <v>1443613.5</v>
      </c>
      <c r="E61" s="444"/>
    </row>
    <row r="62" spans="1:5" s="445" customFormat="1">
      <c r="A62" s="446" t="s">
        <v>457</v>
      </c>
      <c r="B62" s="448">
        <v>1309400</v>
      </c>
      <c r="C62" s="447">
        <f t="shared" si="8"/>
        <v>1374870</v>
      </c>
      <c r="D62" s="447">
        <f t="shared" si="8"/>
        <v>1443613.5</v>
      </c>
      <c r="E62" s="444"/>
    </row>
    <row r="63" spans="1:5" s="445" customFormat="1">
      <c r="A63" s="442" t="s">
        <v>210</v>
      </c>
      <c r="B63" s="443">
        <f>B64+B65+B66+B67+B68+B69</f>
        <v>82100</v>
      </c>
      <c r="C63" s="443">
        <f t="shared" si="8"/>
        <v>86205</v>
      </c>
      <c r="D63" s="443">
        <f t="shared" si="8"/>
        <v>90515.25</v>
      </c>
      <c r="E63" s="444"/>
    </row>
    <row r="64" spans="1:5">
      <c r="A64" s="310" t="s">
        <v>458</v>
      </c>
      <c r="B64" s="325">
        <v>0</v>
      </c>
      <c r="C64" s="325">
        <f t="shared" si="8"/>
        <v>0</v>
      </c>
      <c r="D64" s="325">
        <f t="shared" si="8"/>
        <v>0</v>
      </c>
    </row>
    <row r="65" spans="1:4" ht="31">
      <c r="A65" s="310" t="s">
        <v>459</v>
      </c>
      <c r="B65" s="325">
        <v>0</v>
      </c>
      <c r="C65" s="325">
        <f t="shared" si="8"/>
        <v>0</v>
      </c>
      <c r="D65" s="325">
        <f t="shared" si="8"/>
        <v>0</v>
      </c>
    </row>
    <row r="66" spans="1:4" ht="31">
      <c r="A66" s="310" t="s">
        <v>211</v>
      </c>
      <c r="B66" s="326">
        <v>82100</v>
      </c>
      <c r="C66" s="325">
        <f t="shared" si="8"/>
        <v>86205</v>
      </c>
      <c r="D66" s="325">
        <f t="shared" si="8"/>
        <v>90515.25</v>
      </c>
    </row>
    <row r="67" spans="1:4" ht="31">
      <c r="A67" s="310" t="s">
        <v>460</v>
      </c>
      <c r="B67" s="326">
        <v>0</v>
      </c>
      <c r="C67" s="325">
        <f t="shared" si="8"/>
        <v>0</v>
      </c>
      <c r="D67" s="325">
        <f t="shared" si="8"/>
        <v>0</v>
      </c>
    </row>
    <row r="68" spans="1:4" ht="31">
      <c r="A68" s="310" t="s">
        <v>461</v>
      </c>
      <c r="B68" s="326">
        <v>0</v>
      </c>
      <c r="C68" s="325">
        <f t="shared" si="8"/>
        <v>0</v>
      </c>
      <c r="D68" s="325">
        <f t="shared" si="8"/>
        <v>0</v>
      </c>
    </row>
    <row r="69" spans="1:4">
      <c r="A69" s="310" t="s">
        <v>462</v>
      </c>
      <c r="B69" s="326">
        <v>0</v>
      </c>
      <c r="C69" s="325">
        <f t="shared" si="8"/>
        <v>0</v>
      </c>
      <c r="D69" s="325">
        <f t="shared" si="8"/>
        <v>0</v>
      </c>
    </row>
    <row r="70" spans="1:4" ht="31">
      <c r="A70" s="300" t="s">
        <v>212</v>
      </c>
      <c r="B70" s="324">
        <f>B71</f>
        <v>920000</v>
      </c>
      <c r="C70" s="324">
        <f t="shared" si="8"/>
        <v>966000</v>
      </c>
      <c r="D70" s="324">
        <f t="shared" si="8"/>
        <v>1014300</v>
      </c>
    </row>
    <row r="71" spans="1:4" ht="31">
      <c r="A71" s="310" t="s">
        <v>213</v>
      </c>
      <c r="B71" s="326">
        <v>920000</v>
      </c>
      <c r="C71" s="325">
        <f t="shared" si="8"/>
        <v>966000</v>
      </c>
      <c r="D71" s="325">
        <f t="shared" si="8"/>
        <v>1014300</v>
      </c>
    </row>
    <row r="72" spans="1:4">
      <c r="A72" s="300" t="s">
        <v>267</v>
      </c>
      <c r="B72" s="324">
        <f>B73+B74+B75+B76</f>
        <v>70000</v>
      </c>
      <c r="C72" s="324">
        <f t="shared" si="8"/>
        <v>73500</v>
      </c>
      <c r="D72" s="324">
        <f t="shared" si="8"/>
        <v>77175</v>
      </c>
    </row>
    <row r="73" spans="1:4" ht="31">
      <c r="A73" s="310" t="s">
        <v>463</v>
      </c>
      <c r="B73" s="326">
        <v>0</v>
      </c>
      <c r="C73" s="325">
        <f t="shared" si="8"/>
        <v>0</v>
      </c>
      <c r="D73" s="325">
        <f t="shared" si="8"/>
        <v>0</v>
      </c>
    </row>
    <row r="74" spans="1:4" ht="31">
      <c r="A74" s="310" t="s">
        <v>337</v>
      </c>
      <c r="B74" s="326">
        <v>0</v>
      </c>
      <c r="C74" s="325">
        <f t="shared" si="8"/>
        <v>0</v>
      </c>
      <c r="D74" s="325">
        <f t="shared" si="8"/>
        <v>0</v>
      </c>
    </row>
    <row r="75" spans="1:4" ht="31">
      <c r="A75" s="310" t="s">
        <v>268</v>
      </c>
      <c r="B75" s="326">
        <v>0</v>
      </c>
      <c r="C75" s="325">
        <f t="shared" si="8"/>
        <v>0</v>
      </c>
      <c r="D75" s="325">
        <f t="shared" si="8"/>
        <v>0</v>
      </c>
    </row>
    <row r="76" spans="1:4" ht="31">
      <c r="A76" s="310" t="s">
        <v>464</v>
      </c>
      <c r="B76" s="326">
        <v>70000</v>
      </c>
      <c r="C76" s="325">
        <f t="shared" ref="C76:D95" si="9">B76*1.05</f>
        <v>73500</v>
      </c>
      <c r="D76" s="325">
        <f t="shared" si="9"/>
        <v>77175</v>
      </c>
    </row>
    <row r="77" spans="1:4">
      <c r="A77" s="300" t="s">
        <v>465</v>
      </c>
      <c r="B77" s="329">
        <v>6309764</v>
      </c>
      <c r="C77" s="324">
        <f t="shared" si="9"/>
        <v>6625252.2000000002</v>
      </c>
      <c r="D77" s="324">
        <f t="shared" si="9"/>
        <v>6956514.8100000005</v>
      </c>
    </row>
    <row r="78" spans="1:4" ht="31">
      <c r="A78" s="300" t="s">
        <v>466</v>
      </c>
      <c r="B78" s="324">
        <f>B79+B80</f>
        <v>0</v>
      </c>
      <c r="C78" s="324">
        <f t="shared" si="9"/>
        <v>0</v>
      </c>
      <c r="D78" s="324">
        <f t="shared" si="9"/>
        <v>0</v>
      </c>
    </row>
    <row r="79" spans="1:4">
      <c r="A79" s="310" t="s">
        <v>467</v>
      </c>
      <c r="B79" s="325">
        <v>0</v>
      </c>
      <c r="C79" s="325">
        <f t="shared" si="9"/>
        <v>0</v>
      </c>
      <c r="D79" s="325">
        <f t="shared" si="9"/>
        <v>0</v>
      </c>
    </row>
    <row r="80" spans="1:4">
      <c r="A80" s="310" t="s">
        <v>468</v>
      </c>
      <c r="B80" s="325">
        <v>0</v>
      </c>
      <c r="C80" s="325">
        <f t="shared" si="9"/>
        <v>0</v>
      </c>
      <c r="D80" s="325">
        <f t="shared" si="9"/>
        <v>0</v>
      </c>
    </row>
    <row r="81" spans="1:6" ht="31">
      <c r="A81" s="300" t="s">
        <v>469</v>
      </c>
      <c r="B81" s="324">
        <f>B82</f>
        <v>0</v>
      </c>
      <c r="C81" s="324">
        <f t="shared" si="9"/>
        <v>0</v>
      </c>
      <c r="D81" s="324">
        <f t="shared" si="9"/>
        <v>0</v>
      </c>
    </row>
    <row r="82" spans="1:6" ht="31">
      <c r="A82" s="310" t="s">
        <v>470</v>
      </c>
      <c r="B82" s="325">
        <v>0</v>
      </c>
      <c r="C82" s="325">
        <f t="shared" si="9"/>
        <v>0</v>
      </c>
      <c r="D82" s="325">
        <f t="shared" si="9"/>
        <v>0</v>
      </c>
    </row>
    <row r="83" spans="1:6" ht="31">
      <c r="A83" s="300" t="s">
        <v>270</v>
      </c>
      <c r="B83" s="324">
        <f>B84+B85</f>
        <v>490000</v>
      </c>
      <c r="C83" s="324">
        <f t="shared" si="9"/>
        <v>514500</v>
      </c>
      <c r="D83" s="324">
        <f t="shared" si="9"/>
        <v>540225</v>
      </c>
    </row>
    <row r="84" spans="1:6" ht="31">
      <c r="A84" s="310" t="s">
        <v>281</v>
      </c>
      <c r="B84" s="326">
        <v>0</v>
      </c>
      <c r="C84" s="325">
        <f t="shared" si="9"/>
        <v>0</v>
      </c>
      <c r="D84" s="325">
        <f t="shared" si="9"/>
        <v>0</v>
      </c>
    </row>
    <row r="85" spans="1:6" ht="31">
      <c r="A85" s="310" t="s">
        <v>272</v>
      </c>
      <c r="B85" s="326">
        <v>490000</v>
      </c>
      <c r="C85" s="325">
        <f t="shared" si="9"/>
        <v>514500</v>
      </c>
      <c r="D85" s="325">
        <f t="shared" si="9"/>
        <v>540225</v>
      </c>
    </row>
    <row r="86" spans="1:6" ht="31">
      <c r="A86" s="330" t="s">
        <v>471</v>
      </c>
      <c r="B86" s="324">
        <f>B87</f>
        <v>0</v>
      </c>
      <c r="C86" s="324">
        <f t="shared" si="9"/>
        <v>0</v>
      </c>
      <c r="D86" s="324">
        <f t="shared" si="9"/>
        <v>0</v>
      </c>
    </row>
    <row r="87" spans="1:6" ht="31">
      <c r="A87" s="328" t="s">
        <v>472</v>
      </c>
      <c r="B87" s="326">
        <v>0</v>
      </c>
      <c r="C87" s="325">
        <f t="shared" si="9"/>
        <v>0</v>
      </c>
      <c r="D87" s="325">
        <f t="shared" si="9"/>
        <v>0</v>
      </c>
    </row>
    <row r="88" spans="1:6">
      <c r="A88" s="300" t="s">
        <v>473</v>
      </c>
      <c r="B88" s="324">
        <f>B86+B83+B81+B78+B77+B72+B70+B63+B61+B57+B49+B45+B42+B33+B30+B25+B15+B11+B8+B6+B4</f>
        <v>31455099</v>
      </c>
      <c r="C88" s="324">
        <f t="shared" ref="C88:E88" si="10">C86+C83+C81+C78+C77+C72+C70+C63+C61+C57+C49+C45+C42+C33+C30+C25+C15+C11+C8+C6+C4</f>
        <v>33027853.949999999</v>
      </c>
      <c r="D88" s="324">
        <f t="shared" si="10"/>
        <v>34679246.647500001</v>
      </c>
      <c r="E88" s="324">
        <f t="shared" si="10"/>
        <v>13994290</v>
      </c>
    </row>
    <row r="89" spans="1:6">
      <c r="A89" s="300" t="s">
        <v>106</v>
      </c>
      <c r="B89" s="325">
        <v>45449389</v>
      </c>
      <c r="C89" s="325">
        <f t="shared" si="9"/>
        <v>47721858.450000003</v>
      </c>
      <c r="D89" s="325">
        <f t="shared" si="9"/>
        <v>50107951.372500002</v>
      </c>
    </row>
    <row r="90" spans="1:6">
      <c r="A90" s="300" t="s">
        <v>474</v>
      </c>
      <c r="B90" s="325"/>
      <c r="C90" s="325">
        <f t="shared" si="9"/>
        <v>0</v>
      </c>
      <c r="D90" s="325">
        <f t="shared" si="9"/>
        <v>0</v>
      </c>
    </row>
    <row r="91" spans="1:6" ht="31">
      <c r="A91" s="310" t="s">
        <v>475</v>
      </c>
      <c r="B91" s="325">
        <v>105000000</v>
      </c>
      <c r="C91" s="325">
        <f t="shared" si="9"/>
        <v>110250000</v>
      </c>
      <c r="D91" s="325">
        <f t="shared" si="9"/>
        <v>115762500</v>
      </c>
    </row>
    <row r="92" spans="1:6">
      <c r="A92" s="328" t="s">
        <v>476</v>
      </c>
      <c r="B92" s="325">
        <v>67500000</v>
      </c>
      <c r="C92" s="325">
        <f t="shared" si="9"/>
        <v>70875000</v>
      </c>
      <c r="D92" s="325">
        <f t="shared" si="9"/>
        <v>74418750</v>
      </c>
      <c r="E92" s="500">
        <v>67500000</v>
      </c>
      <c r="F92" s="501" t="s">
        <v>1105</v>
      </c>
    </row>
    <row r="93" spans="1:6">
      <c r="A93" s="328" t="s">
        <v>224</v>
      </c>
      <c r="B93" s="325">
        <f>-15000000+24413021-9413021</f>
        <v>0</v>
      </c>
      <c r="C93" s="325">
        <f t="shared" si="9"/>
        <v>0</v>
      </c>
      <c r="D93" s="325">
        <f t="shared" si="9"/>
        <v>0</v>
      </c>
    </row>
    <row r="94" spans="1:6">
      <c r="A94" s="328" t="s">
        <v>477</v>
      </c>
      <c r="B94" s="325">
        <f>7897846+10433758-10000000</f>
        <v>8331604</v>
      </c>
      <c r="C94" s="325">
        <f t="shared" si="9"/>
        <v>8748184.2000000011</v>
      </c>
      <c r="D94" s="325">
        <f t="shared" si="9"/>
        <v>9185593.410000002</v>
      </c>
    </row>
    <row r="95" spans="1:6" ht="31">
      <c r="A95" s="328" t="s">
        <v>478</v>
      </c>
      <c r="B95" s="325">
        <v>0</v>
      </c>
      <c r="C95" s="325">
        <f t="shared" si="9"/>
        <v>0</v>
      </c>
      <c r="D95" s="325">
        <f t="shared" si="9"/>
        <v>0</v>
      </c>
    </row>
    <row r="96" spans="1:6" ht="31">
      <c r="A96" s="310" t="s">
        <v>479</v>
      </c>
      <c r="B96" s="325">
        <v>0</v>
      </c>
      <c r="C96" s="325">
        <f t="shared" ref="C96:D115" si="11">B96*1.05</f>
        <v>0</v>
      </c>
      <c r="D96" s="325">
        <f t="shared" si="11"/>
        <v>0</v>
      </c>
    </row>
    <row r="97" spans="1:6">
      <c r="A97" s="328" t="s">
        <v>480</v>
      </c>
      <c r="B97" s="325">
        <v>0</v>
      </c>
      <c r="C97" s="325">
        <f t="shared" si="11"/>
        <v>0</v>
      </c>
      <c r="D97" s="325">
        <f t="shared" si="11"/>
        <v>0</v>
      </c>
    </row>
    <row r="98" spans="1:6">
      <c r="A98" s="328" t="s">
        <v>481</v>
      </c>
      <c r="B98" s="325">
        <v>112500000</v>
      </c>
      <c r="C98" s="325">
        <f t="shared" si="11"/>
        <v>118125000</v>
      </c>
      <c r="D98" s="325">
        <f t="shared" si="11"/>
        <v>124031250</v>
      </c>
      <c r="E98" s="500">
        <v>112500000</v>
      </c>
      <c r="F98" s="501" t="s">
        <v>1105</v>
      </c>
    </row>
    <row r="99" spans="1:6">
      <c r="A99" s="328" t="s">
        <v>482</v>
      </c>
      <c r="B99" s="331">
        <v>0</v>
      </c>
      <c r="C99" s="325">
        <f t="shared" si="11"/>
        <v>0</v>
      </c>
      <c r="D99" s="325">
        <f t="shared" si="11"/>
        <v>0</v>
      </c>
    </row>
    <row r="100" spans="1:6">
      <c r="A100" s="328" t="s">
        <v>483</v>
      </c>
      <c r="B100" s="331">
        <v>0</v>
      </c>
      <c r="C100" s="325">
        <f t="shared" si="11"/>
        <v>0</v>
      </c>
      <c r="D100" s="325">
        <f t="shared" si="11"/>
        <v>0</v>
      </c>
      <c r="E100" s="432">
        <f>E98+E92</f>
        <v>180000000</v>
      </c>
    </row>
    <row r="101" spans="1:6">
      <c r="A101" s="300" t="s">
        <v>484</v>
      </c>
      <c r="B101" s="324">
        <f>SUM(B91:B100)</f>
        <v>293331604</v>
      </c>
      <c r="C101" s="324">
        <f t="shared" si="11"/>
        <v>307998184.19999999</v>
      </c>
      <c r="D101" s="324">
        <f t="shared" si="11"/>
        <v>323398093.41000003</v>
      </c>
      <c r="E101" s="432">
        <f>E100/45</f>
        <v>4000000</v>
      </c>
    </row>
    <row r="102" spans="1:6">
      <c r="A102" s="300" t="s">
        <v>485</v>
      </c>
      <c r="B102" s="324">
        <f>B88</f>
        <v>31455099</v>
      </c>
      <c r="C102" s="324">
        <f t="shared" si="11"/>
        <v>33027853.950000003</v>
      </c>
      <c r="D102" s="324">
        <f t="shared" si="11"/>
        <v>34679246.647500001</v>
      </c>
      <c r="E102" s="432">
        <v>3000000</v>
      </c>
    </row>
    <row r="103" spans="1:6">
      <c r="A103" s="300" t="s">
        <v>486</v>
      </c>
      <c r="B103" s="324">
        <f>B101+B102</f>
        <v>324786703</v>
      </c>
      <c r="C103" s="324">
        <f t="shared" si="11"/>
        <v>341026038.15000004</v>
      </c>
      <c r="D103" s="324">
        <f t="shared" si="11"/>
        <v>358077340.05750006</v>
      </c>
      <c r="E103" s="432">
        <f>SUM(E101:E102)</f>
        <v>7000000</v>
      </c>
    </row>
    <row r="104" spans="1:6">
      <c r="A104" s="300" t="s">
        <v>487</v>
      </c>
      <c r="B104" s="325"/>
      <c r="C104" s="325">
        <f t="shared" si="11"/>
        <v>0</v>
      </c>
      <c r="D104" s="325">
        <f t="shared" si="11"/>
        <v>0</v>
      </c>
      <c r="E104" s="432">
        <f>E103*45</f>
        <v>315000000</v>
      </c>
    </row>
    <row r="105" spans="1:6" ht="46.5">
      <c r="A105" s="298" t="s">
        <v>488</v>
      </c>
      <c r="B105" s="326">
        <v>700000</v>
      </c>
      <c r="C105" s="325">
        <f t="shared" si="11"/>
        <v>735000</v>
      </c>
      <c r="D105" s="325">
        <f t="shared" si="11"/>
        <v>771750</v>
      </c>
    </row>
    <row r="106" spans="1:6">
      <c r="A106" s="300" t="s">
        <v>489</v>
      </c>
      <c r="B106" s="324">
        <f>B105</f>
        <v>700000</v>
      </c>
      <c r="C106" s="324">
        <f t="shared" si="11"/>
        <v>735000</v>
      </c>
      <c r="D106" s="324">
        <f t="shared" si="11"/>
        <v>771750</v>
      </c>
    </row>
    <row r="107" spans="1:6">
      <c r="A107" s="300" t="s">
        <v>490</v>
      </c>
      <c r="B107" s="325"/>
      <c r="C107" s="325">
        <f t="shared" si="11"/>
        <v>0</v>
      </c>
      <c r="D107" s="325">
        <f t="shared" si="11"/>
        <v>0</v>
      </c>
    </row>
    <row r="108" spans="1:6" ht="31">
      <c r="A108" s="300" t="s">
        <v>491</v>
      </c>
      <c r="B108" s="325"/>
      <c r="C108" s="325">
        <f t="shared" si="11"/>
        <v>0</v>
      </c>
      <c r="D108" s="325">
        <f t="shared" si="11"/>
        <v>0</v>
      </c>
    </row>
    <row r="109" spans="1:6">
      <c r="A109" s="300" t="s">
        <v>189</v>
      </c>
      <c r="B109" s="324">
        <f>B110+B111</f>
        <v>420000</v>
      </c>
      <c r="C109" s="324">
        <f t="shared" si="11"/>
        <v>441000</v>
      </c>
      <c r="D109" s="324">
        <f t="shared" si="11"/>
        <v>463050</v>
      </c>
    </row>
    <row r="110" spans="1:6">
      <c r="A110" s="310" t="s">
        <v>431</v>
      </c>
      <c r="B110" s="326">
        <v>420000</v>
      </c>
      <c r="C110" s="325">
        <f t="shared" si="11"/>
        <v>441000</v>
      </c>
      <c r="D110" s="325">
        <f t="shared" si="11"/>
        <v>463050</v>
      </c>
    </row>
    <row r="111" spans="1:6">
      <c r="A111" s="310" t="s">
        <v>432</v>
      </c>
      <c r="B111" s="326">
        <v>0</v>
      </c>
      <c r="C111" s="325">
        <f t="shared" si="11"/>
        <v>0</v>
      </c>
      <c r="D111" s="325">
        <f t="shared" si="11"/>
        <v>0</v>
      </c>
    </row>
    <row r="112" spans="1:6" ht="31">
      <c r="A112" s="300" t="s">
        <v>324</v>
      </c>
      <c r="B112" s="324">
        <f>B113+B114+B115</f>
        <v>163200</v>
      </c>
      <c r="C112" s="324">
        <f t="shared" si="11"/>
        <v>171360</v>
      </c>
      <c r="D112" s="324">
        <f t="shared" si="11"/>
        <v>179928</v>
      </c>
    </row>
    <row r="113" spans="1:4">
      <c r="A113" s="327" t="s">
        <v>433</v>
      </c>
      <c r="B113" s="326">
        <v>0</v>
      </c>
      <c r="C113" s="325">
        <f t="shared" si="11"/>
        <v>0</v>
      </c>
      <c r="D113" s="325">
        <f t="shared" si="11"/>
        <v>0</v>
      </c>
    </row>
    <row r="114" spans="1:4">
      <c r="A114" s="310" t="s">
        <v>434</v>
      </c>
      <c r="B114" s="326">
        <v>91200</v>
      </c>
      <c r="C114" s="325">
        <f t="shared" si="11"/>
        <v>95760</v>
      </c>
      <c r="D114" s="325">
        <f t="shared" si="11"/>
        <v>100548</v>
      </c>
    </row>
    <row r="115" spans="1:4">
      <c r="A115" s="310" t="s">
        <v>253</v>
      </c>
      <c r="B115" s="326">
        <v>72000</v>
      </c>
      <c r="C115" s="325">
        <f t="shared" si="11"/>
        <v>75600</v>
      </c>
      <c r="D115" s="325">
        <f t="shared" si="11"/>
        <v>79380</v>
      </c>
    </row>
    <row r="116" spans="1:4" ht="31">
      <c r="A116" s="300" t="s">
        <v>191</v>
      </c>
      <c r="B116" s="324">
        <f>B117+B118</f>
        <v>447300</v>
      </c>
      <c r="C116" s="324">
        <f t="shared" ref="C116:D135" si="12">B116*1.05</f>
        <v>469665</v>
      </c>
      <c r="D116" s="324">
        <f t="shared" si="12"/>
        <v>493148.25</v>
      </c>
    </row>
    <row r="117" spans="1:4">
      <c r="A117" s="310" t="s">
        <v>435</v>
      </c>
      <c r="B117" s="325">
        <v>90000</v>
      </c>
      <c r="C117" s="325">
        <f t="shared" si="12"/>
        <v>94500</v>
      </c>
      <c r="D117" s="325">
        <f t="shared" si="12"/>
        <v>99225</v>
      </c>
    </row>
    <row r="118" spans="1:4" ht="31">
      <c r="A118" s="310" t="s">
        <v>437</v>
      </c>
      <c r="B118" s="325">
        <v>357300</v>
      </c>
      <c r="C118" s="325">
        <f t="shared" si="12"/>
        <v>375165</v>
      </c>
      <c r="D118" s="325">
        <f t="shared" si="12"/>
        <v>393923.25</v>
      </c>
    </row>
    <row r="119" spans="1:4" ht="31">
      <c r="A119" s="300" t="s">
        <v>195</v>
      </c>
      <c r="B119" s="324"/>
      <c r="C119" s="324">
        <f t="shared" si="12"/>
        <v>0</v>
      </c>
      <c r="D119" s="324">
        <f t="shared" si="12"/>
        <v>0</v>
      </c>
    </row>
    <row r="120" spans="1:4">
      <c r="A120" s="310" t="s">
        <v>492</v>
      </c>
      <c r="B120" s="325">
        <v>0</v>
      </c>
      <c r="C120" s="325">
        <f t="shared" si="12"/>
        <v>0</v>
      </c>
      <c r="D120" s="325">
        <f t="shared" si="12"/>
        <v>0</v>
      </c>
    </row>
    <row r="121" spans="1:4">
      <c r="A121" s="300" t="s">
        <v>329</v>
      </c>
      <c r="B121" s="324">
        <f>B122+B123+B124</f>
        <v>415000</v>
      </c>
      <c r="C121" s="324">
        <f t="shared" si="12"/>
        <v>435750</v>
      </c>
      <c r="D121" s="324">
        <f t="shared" si="12"/>
        <v>457537.5</v>
      </c>
    </row>
    <row r="122" spans="1:4" ht="31">
      <c r="A122" s="310" t="s">
        <v>295</v>
      </c>
      <c r="B122" s="325">
        <v>0</v>
      </c>
      <c r="C122" s="325">
        <f t="shared" si="12"/>
        <v>0</v>
      </c>
      <c r="D122" s="325">
        <f t="shared" si="12"/>
        <v>0</v>
      </c>
    </row>
    <row r="123" spans="1:4">
      <c r="A123" s="310" t="s">
        <v>289</v>
      </c>
      <c r="B123" s="325"/>
      <c r="C123" s="325">
        <f t="shared" si="12"/>
        <v>0</v>
      </c>
      <c r="D123" s="325">
        <f t="shared" si="12"/>
        <v>0</v>
      </c>
    </row>
    <row r="124" spans="1:4">
      <c r="A124" s="310" t="s">
        <v>447</v>
      </c>
      <c r="B124" s="325">
        <v>415000</v>
      </c>
      <c r="C124" s="325">
        <f t="shared" si="12"/>
        <v>435750</v>
      </c>
      <c r="D124" s="325">
        <f t="shared" si="12"/>
        <v>457537.5</v>
      </c>
    </row>
    <row r="125" spans="1:4">
      <c r="A125" s="300" t="s">
        <v>200</v>
      </c>
      <c r="B125" s="324">
        <f>B126</f>
        <v>0</v>
      </c>
      <c r="C125" s="324">
        <f t="shared" si="12"/>
        <v>0</v>
      </c>
      <c r="D125" s="324">
        <f t="shared" si="12"/>
        <v>0</v>
      </c>
    </row>
    <row r="126" spans="1:4">
      <c r="A126" s="310" t="s">
        <v>493</v>
      </c>
      <c r="B126" s="326">
        <v>0</v>
      </c>
      <c r="C126" s="325">
        <f t="shared" si="12"/>
        <v>0</v>
      </c>
      <c r="D126" s="325">
        <f t="shared" si="12"/>
        <v>0</v>
      </c>
    </row>
    <row r="127" spans="1:4">
      <c r="A127" s="300" t="s">
        <v>448</v>
      </c>
      <c r="B127" s="324">
        <f>B128+B129</f>
        <v>516000</v>
      </c>
      <c r="C127" s="324">
        <f t="shared" si="12"/>
        <v>541800</v>
      </c>
      <c r="D127" s="324">
        <f t="shared" si="12"/>
        <v>568890</v>
      </c>
    </row>
    <row r="128" spans="1:4" ht="31">
      <c r="A128" s="310" t="s">
        <v>449</v>
      </c>
      <c r="B128" s="326">
        <v>516000</v>
      </c>
      <c r="C128" s="325">
        <f t="shared" si="12"/>
        <v>541800</v>
      </c>
      <c r="D128" s="325">
        <f t="shared" si="12"/>
        <v>568890</v>
      </c>
    </row>
    <row r="129" spans="1:4">
      <c r="A129" s="310" t="s">
        <v>262</v>
      </c>
      <c r="B129" s="325">
        <v>0</v>
      </c>
      <c r="C129" s="325">
        <f t="shared" si="12"/>
        <v>0</v>
      </c>
      <c r="D129" s="325">
        <f t="shared" si="12"/>
        <v>0</v>
      </c>
    </row>
    <row r="130" spans="1:4">
      <c r="A130" s="300" t="s">
        <v>290</v>
      </c>
      <c r="B130" s="324">
        <f>B132</f>
        <v>0</v>
      </c>
      <c r="C130" s="324">
        <f t="shared" si="12"/>
        <v>0</v>
      </c>
      <c r="D130" s="324">
        <f t="shared" si="12"/>
        <v>0</v>
      </c>
    </row>
    <row r="131" spans="1:4" ht="31">
      <c r="A131" s="310" t="s">
        <v>452</v>
      </c>
      <c r="B131" s="326">
        <v>0</v>
      </c>
      <c r="C131" s="325">
        <f t="shared" si="12"/>
        <v>0</v>
      </c>
      <c r="D131" s="325">
        <f t="shared" si="12"/>
        <v>0</v>
      </c>
    </row>
    <row r="132" spans="1:4" ht="31">
      <c r="A132" s="310" t="s">
        <v>291</v>
      </c>
      <c r="B132" s="325">
        <v>0</v>
      </c>
      <c r="C132" s="325">
        <f t="shared" si="12"/>
        <v>0</v>
      </c>
      <c r="D132" s="325">
        <f t="shared" si="12"/>
        <v>0</v>
      </c>
    </row>
    <row r="133" spans="1:4">
      <c r="A133" s="310" t="s">
        <v>455</v>
      </c>
      <c r="B133" s="325">
        <v>0</v>
      </c>
      <c r="C133" s="325">
        <f t="shared" si="12"/>
        <v>0</v>
      </c>
      <c r="D133" s="325">
        <f t="shared" si="12"/>
        <v>0</v>
      </c>
    </row>
    <row r="134" spans="1:4" ht="31">
      <c r="A134" s="300" t="s">
        <v>205</v>
      </c>
      <c r="B134" s="324">
        <f>B135+B136+B137</f>
        <v>462807</v>
      </c>
      <c r="C134" s="324">
        <f t="shared" si="12"/>
        <v>485947.35000000003</v>
      </c>
      <c r="D134" s="324">
        <f t="shared" si="12"/>
        <v>510244.71750000009</v>
      </c>
    </row>
    <row r="135" spans="1:4">
      <c r="A135" s="310" t="s">
        <v>494</v>
      </c>
      <c r="B135" s="325">
        <v>155000</v>
      </c>
      <c r="C135" s="325">
        <f t="shared" si="12"/>
        <v>162750</v>
      </c>
      <c r="D135" s="325">
        <f t="shared" si="12"/>
        <v>170887.5</v>
      </c>
    </row>
    <row r="136" spans="1:4" ht="31">
      <c r="A136" s="310" t="s">
        <v>263</v>
      </c>
      <c r="B136" s="325">
        <v>173900</v>
      </c>
      <c r="C136" s="325">
        <f t="shared" ref="C136:D155" si="13">B136*1.05</f>
        <v>182595</v>
      </c>
      <c r="D136" s="325">
        <f t="shared" si="13"/>
        <v>191724.75</v>
      </c>
    </row>
    <row r="137" spans="1:4" ht="31">
      <c r="A137" s="310" t="s">
        <v>207</v>
      </c>
      <c r="B137" s="325">
        <v>133907</v>
      </c>
      <c r="C137" s="325">
        <f t="shared" si="13"/>
        <v>140602.35</v>
      </c>
      <c r="D137" s="325">
        <f t="shared" si="13"/>
        <v>147632.4675</v>
      </c>
    </row>
    <row r="138" spans="1:4">
      <c r="A138" s="300" t="s">
        <v>208</v>
      </c>
      <c r="B138" s="324">
        <f>B139</f>
        <v>480000</v>
      </c>
      <c r="C138" s="324">
        <f t="shared" si="13"/>
        <v>504000</v>
      </c>
      <c r="D138" s="324">
        <f t="shared" si="13"/>
        <v>529200</v>
      </c>
    </row>
    <row r="139" spans="1:4">
      <c r="A139" s="310" t="s">
        <v>457</v>
      </c>
      <c r="B139" s="326">
        <v>480000</v>
      </c>
      <c r="C139" s="325">
        <f t="shared" si="13"/>
        <v>504000</v>
      </c>
      <c r="D139" s="325">
        <f t="shared" si="13"/>
        <v>529200</v>
      </c>
    </row>
    <row r="140" spans="1:4">
      <c r="A140" s="300" t="s">
        <v>210</v>
      </c>
      <c r="B140" s="324">
        <f>B141+B142+B143+B144+B145+B146</f>
        <v>21200</v>
      </c>
      <c r="C140" s="324">
        <f t="shared" si="13"/>
        <v>22260</v>
      </c>
      <c r="D140" s="324">
        <f t="shared" si="13"/>
        <v>23373</v>
      </c>
    </row>
    <row r="141" spans="1:4">
      <c r="A141" s="310" t="s">
        <v>458</v>
      </c>
      <c r="B141" s="325">
        <v>0</v>
      </c>
      <c r="C141" s="325">
        <f t="shared" si="13"/>
        <v>0</v>
      </c>
      <c r="D141" s="325">
        <f t="shared" si="13"/>
        <v>0</v>
      </c>
    </row>
    <row r="142" spans="1:4" ht="31">
      <c r="A142" s="310" t="s">
        <v>459</v>
      </c>
      <c r="B142" s="325">
        <v>0</v>
      </c>
      <c r="C142" s="325">
        <f t="shared" si="13"/>
        <v>0</v>
      </c>
      <c r="D142" s="325">
        <f t="shared" si="13"/>
        <v>0</v>
      </c>
    </row>
    <row r="143" spans="1:4" ht="31">
      <c r="A143" s="310" t="s">
        <v>211</v>
      </c>
      <c r="B143" s="326">
        <v>21200</v>
      </c>
      <c r="C143" s="325">
        <f t="shared" si="13"/>
        <v>22260</v>
      </c>
      <c r="D143" s="325">
        <f t="shared" si="13"/>
        <v>23373</v>
      </c>
    </row>
    <row r="144" spans="1:4" ht="31">
      <c r="A144" s="310" t="s">
        <v>460</v>
      </c>
      <c r="B144" s="326">
        <v>0</v>
      </c>
      <c r="C144" s="325">
        <f t="shared" si="13"/>
        <v>0</v>
      </c>
      <c r="D144" s="325">
        <f t="shared" si="13"/>
        <v>0</v>
      </c>
    </row>
    <row r="145" spans="1:4" ht="31">
      <c r="A145" s="310" t="s">
        <v>461</v>
      </c>
      <c r="B145" s="326">
        <v>0</v>
      </c>
      <c r="C145" s="325">
        <f t="shared" si="13"/>
        <v>0</v>
      </c>
      <c r="D145" s="325">
        <f t="shared" si="13"/>
        <v>0</v>
      </c>
    </row>
    <row r="146" spans="1:4">
      <c r="A146" s="310" t="s">
        <v>462</v>
      </c>
      <c r="B146" s="326">
        <v>0</v>
      </c>
      <c r="C146" s="325">
        <f t="shared" si="13"/>
        <v>0</v>
      </c>
      <c r="D146" s="325">
        <f t="shared" si="13"/>
        <v>0</v>
      </c>
    </row>
    <row r="147" spans="1:4" ht="31">
      <c r="A147" s="300" t="s">
        <v>212</v>
      </c>
      <c r="B147" s="324">
        <f>B148</f>
        <v>520000</v>
      </c>
      <c r="C147" s="324">
        <f t="shared" si="13"/>
        <v>546000</v>
      </c>
      <c r="D147" s="324">
        <f t="shared" si="13"/>
        <v>573300</v>
      </c>
    </row>
    <row r="148" spans="1:4" ht="31">
      <c r="A148" s="310" t="s">
        <v>213</v>
      </c>
      <c r="B148" s="325">
        <v>520000</v>
      </c>
      <c r="C148" s="325">
        <f t="shared" si="13"/>
        <v>546000</v>
      </c>
      <c r="D148" s="325">
        <f t="shared" si="13"/>
        <v>573300</v>
      </c>
    </row>
    <row r="149" spans="1:4">
      <c r="A149" s="300" t="s">
        <v>267</v>
      </c>
      <c r="B149" s="324">
        <f>B150</f>
        <v>0</v>
      </c>
      <c r="C149" s="324">
        <f t="shared" si="13"/>
        <v>0</v>
      </c>
      <c r="D149" s="324">
        <f t="shared" si="13"/>
        <v>0</v>
      </c>
    </row>
    <row r="150" spans="1:4" ht="31">
      <c r="A150" s="310" t="s">
        <v>495</v>
      </c>
      <c r="B150" s="326">
        <v>0</v>
      </c>
      <c r="C150" s="325">
        <f t="shared" si="13"/>
        <v>0</v>
      </c>
      <c r="D150" s="325">
        <f t="shared" si="13"/>
        <v>0</v>
      </c>
    </row>
    <row r="151" spans="1:4" ht="31">
      <c r="A151" s="310" t="s">
        <v>337</v>
      </c>
      <c r="B151" s="325">
        <v>0</v>
      </c>
      <c r="C151" s="325">
        <f t="shared" si="13"/>
        <v>0</v>
      </c>
      <c r="D151" s="325">
        <f t="shared" si="13"/>
        <v>0</v>
      </c>
    </row>
    <row r="152" spans="1:4" ht="31">
      <c r="A152" s="310" t="s">
        <v>268</v>
      </c>
      <c r="B152" s="325"/>
      <c r="C152" s="325">
        <f t="shared" si="13"/>
        <v>0</v>
      </c>
      <c r="D152" s="325">
        <f t="shared" si="13"/>
        <v>0</v>
      </c>
    </row>
    <row r="153" spans="1:4" ht="31">
      <c r="A153" s="310" t="s">
        <v>269</v>
      </c>
      <c r="B153" s="325"/>
      <c r="C153" s="325">
        <f t="shared" si="13"/>
        <v>0</v>
      </c>
      <c r="D153" s="325">
        <f t="shared" si="13"/>
        <v>0</v>
      </c>
    </row>
    <row r="154" spans="1:4" ht="31">
      <c r="A154" s="300" t="s">
        <v>496</v>
      </c>
      <c r="B154" s="324"/>
      <c r="C154" s="324">
        <f t="shared" si="13"/>
        <v>0</v>
      </c>
      <c r="D154" s="324">
        <f t="shared" si="13"/>
        <v>0</v>
      </c>
    </row>
    <row r="155" spans="1:4" ht="31">
      <c r="A155" s="310" t="s">
        <v>497</v>
      </c>
      <c r="B155" s="325">
        <v>0</v>
      </c>
      <c r="C155" s="325">
        <f t="shared" si="13"/>
        <v>0</v>
      </c>
      <c r="D155" s="325">
        <f t="shared" si="13"/>
        <v>0</v>
      </c>
    </row>
    <row r="156" spans="1:4" ht="31">
      <c r="A156" s="310" t="s">
        <v>498</v>
      </c>
      <c r="B156" s="325"/>
      <c r="C156" s="325">
        <f t="shared" ref="C156:D163" si="14">B156*1.05</f>
        <v>0</v>
      </c>
      <c r="D156" s="325">
        <f t="shared" si="14"/>
        <v>0</v>
      </c>
    </row>
    <row r="157" spans="1:4" ht="31">
      <c r="A157" s="330" t="s">
        <v>471</v>
      </c>
      <c r="B157" s="324">
        <f>B158</f>
        <v>0</v>
      </c>
      <c r="C157" s="324">
        <f t="shared" si="14"/>
        <v>0</v>
      </c>
      <c r="D157" s="324">
        <f t="shared" si="14"/>
        <v>0</v>
      </c>
    </row>
    <row r="158" spans="1:4" ht="31">
      <c r="A158" s="328" t="s">
        <v>472</v>
      </c>
      <c r="B158" s="326">
        <v>0</v>
      </c>
      <c r="C158" s="325">
        <f t="shared" si="14"/>
        <v>0</v>
      </c>
      <c r="D158" s="325">
        <f t="shared" si="14"/>
        <v>0</v>
      </c>
    </row>
    <row r="159" spans="1:4">
      <c r="A159" s="300" t="s">
        <v>499</v>
      </c>
      <c r="B159" s="324">
        <f>B109+B112+B116+B119+B121+B125+B127+B130+B134+B138+B140+B147+B154+B157</f>
        <v>3445507</v>
      </c>
      <c r="C159" s="324">
        <f t="shared" si="14"/>
        <v>3617782.35</v>
      </c>
      <c r="D159" s="324">
        <f t="shared" si="14"/>
        <v>3798671.4675000003</v>
      </c>
    </row>
    <row r="160" spans="1:4">
      <c r="A160" s="300" t="s">
        <v>500</v>
      </c>
      <c r="B160" s="324">
        <f>B159+B106+B102</f>
        <v>35600606</v>
      </c>
      <c r="C160" s="324">
        <f t="shared" si="14"/>
        <v>37380636.300000004</v>
      </c>
      <c r="D160" s="324">
        <f t="shared" si="14"/>
        <v>39249668.11500001</v>
      </c>
    </row>
    <row r="161" spans="1:4">
      <c r="A161" s="300" t="s">
        <v>501</v>
      </c>
      <c r="B161" s="324">
        <f>B101</f>
        <v>293331604</v>
      </c>
      <c r="C161" s="324">
        <f t="shared" si="14"/>
        <v>307998184.19999999</v>
      </c>
      <c r="D161" s="324">
        <f t="shared" si="14"/>
        <v>323398093.41000003</v>
      </c>
    </row>
    <row r="162" spans="1:4">
      <c r="A162" s="300" t="s">
        <v>502</v>
      </c>
      <c r="B162" s="324">
        <f>B160+B161</f>
        <v>328932210</v>
      </c>
      <c r="C162" s="324">
        <f t="shared" si="14"/>
        <v>345378820.5</v>
      </c>
      <c r="D162" s="324">
        <f t="shared" si="14"/>
        <v>362647761.52500004</v>
      </c>
    </row>
    <row r="163" spans="1:4">
      <c r="A163" s="300" t="s">
        <v>503</v>
      </c>
      <c r="B163" s="339"/>
      <c r="C163" s="339">
        <f t="shared" si="14"/>
        <v>0</v>
      </c>
      <c r="D163" s="339">
        <f t="shared" si="14"/>
        <v>0</v>
      </c>
    </row>
    <row r="164" spans="1:4" ht="31">
      <c r="A164" s="300" t="s">
        <v>160</v>
      </c>
      <c r="B164" s="332" t="s">
        <v>424</v>
      </c>
      <c r="C164" s="332" t="s">
        <v>425</v>
      </c>
      <c r="D164" s="332" t="s">
        <v>426</v>
      </c>
    </row>
    <row r="165" spans="1:4">
      <c r="A165" s="300" t="s">
        <v>427</v>
      </c>
      <c r="B165" s="324">
        <f>B166</f>
        <v>0</v>
      </c>
      <c r="C165" s="324">
        <f t="shared" ref="C165:D184" si="15">B165*1.05</f>
        <v>0</v>
      </c>
      <c r="D165" s="324">
        <f t="shared" si="15"/>
        <v>0</v>
      </c>
    </row>
    <row r="166" spans="1:4">
      <c r="A166" s="310" t="s">
        <v>428</v>
      </c>
      <c r="B166" s="325">
        <v>0</v>
      </c>
      <c r="C166" s="325">
        <f t="shared" si="15"/>
        <v>0</v>
      </c>
      <c r="D166" s="325">
        <f t="shared" si="15"/>
        <v>0</v>
      </c>
    </row>
    <row r="167" spans="1:4" ht="31">
      <c r="A167" s="300" t="s">
        <v>429</v>
      </c>
      <c r="B167" s="324">
        <f>B168</f>
        <v>0</v>
      </c>
      <c r="C167" s="324">
        <f t="shared" si="15"/>
        <v>0</v>
      </c>
      <c r="D167" s="324">
        <f t="shared" si="15"/>
        <v>0</v>
      </c>
    </row>
    <row r="168" spans="1:4">
      <c r="A168" s="310" t="s">
        <v>430</v>
      </c>
      <c r="B168" s="325">
        <v>0</v>
      </c>
      <c r="C168" s="325">
        <f t="shared" si="15"/>
        <v>0</v>
      </c>
      <c r="D168" s="325">
        <f t="shared" si="15"/>
        <v>0</v>
      </c>
    </row>
    <row r="169" spans="1:4" ht="31">
      <c r="A169" s="300" t="s">
        <v>504</v>
      </c>
      <c r="B169" s="324"/>
      <c r="C169" s="324">
        <f t="shared" si="15"/>
        <v>0</v>
      </c>
      <c r="D169" s="324">
        <f t="shared" si="15"/>
        <v>0</v>
      </c>
    </row>
    <row r="170" spans="1:4">
      <c r="A170" s="310" t="s">
        <v>505</v>
      </c>
      <c r="B170" s="325"/>
      <c r="C170" s="325">
        <f t="shared" si="15"/>
        <v>0</v>
      </c>
      <c r="D170" s="325">
        <f t="shared" si="15"/>
        <v>0</v>
      </c>
    </row>
    <row r="171" spans="1:4">
      <c r="A171" s="310" t="s">
        <v>506</v>
      </c>
      <c r="B171" s="325"/>
      <c r="C171" s="325">
        <f t="shared" si="15"/>
        <v>0</v>
      </c>
      <c r="D171" s="325">
        <f t="shared" si="15"/>
        <v>0</v>
      </c>
    </row>
    <row r="172" spans="1:4" ht="31">
      <c r="A172" s="310" t="s">
        <v>507</v>
      </c>
      <c r="B172" s="325"/>
      <c r="C172" s="325">
        <f t="shared" si="15"/>
        <v>0</v>
      </c>
      <c r="D172" s="325">
        <f t="shared" si="15"/>
        <v>0</v>
      </c>
    </row>
    <row r="173" spans="1:4">
      <c r="A173" s="310" t="s">
        <v>508</v>
      </c>
      <c r="B173" s="325"/>
      <c r="C173" s="325">
        <f t="shared" si="15"/>
        <v>0</v>
      </c>
      <c r="D173" s="325">
        <f t="shared" si="15"/>
        <v>0</v>
      </c>
    </row>
    <row r="174" spans="1:4">
      <c r="A174" s="310" t="s">
        <v>509</v>
      </c>
      <c r="B174" s="325"/>
      <c r="C174" s="325">
        <f t="shared" si="15"/>
        <v>0</v>
      </c>
      <c r="D174" s="325">
        <f t="shared" si="15"/>
        <v>0</v>
      </c>
    </row>
    <row r="175" spans="1:4">
      <c r="A175" s="310" t="s">
        <v>510</v>
      </c>
      <c r="B175" s="325"/>
      <c r="C175" s="325">
        <f t="shared" si="15"/>
        <v>0</v>
      </c>
      <c r="D175" s="325">
        <f t="shared" si="15"/>
        <v>0</v>
      </c>
    </row>
    <row r="176" spans="1:4">
      <c r="A176" s="310" t="s">
        <v>511</v>
      </c>
      <c r="B176" s="325"/>
      <c r="C176" s="325">
        <f t="shared" si="15"/>
        <v>0</v>
      </c>
      <c r="D176" s="325">
        <f t="shared" si="15"/>
        <v>0</v>
      </c>
    </row>
    <row r="177" spans="1:4">
      <c r="A177" s="310" t="s">
        <v>512</v>
      </c>
      <c r="B177" s="325"/>
      <c r="C177" s="325">
        <f t="shared" si="15"/>
        <v>0</v>
      </c>
      <c r="D177" s="325">
        <f t="shared" si="15"/>
        <v>0</v>
      </c>
    </row>
    <row r="178" spans="1:4">
      <c r="A178" s="310" t="s">
        <v>513</v>
      </c>
      <c r="B178" s="325"/>
      <c r="C178" s="325">
        <f t="shared" si="15"/>
        <v>0</v>
      </c>
      <c r="D178" s="325">
        <f t="shared" si="15"/>
        <v>0</v>
      </c>
    </row>
    <row r="179" spans="1:4">
      <c r="A179" s="310" t="s">
        <v>514</v>
      </c>
      <c r="B179" s="325"/>
      <c r="C179" s="325">
        <f t="shared" si="15"/>
        <v>0</v>
      </c>
      <c r="D179" s="325">
        <f t="shared" si="15"/>
        <v>0</v>
      </c>
    </row>
    <row r="180" spans="1:4">
      <c r="A180" s="310" t="s">
        <v>515</v>
      </c>
      <c r="B180" s="325"/>
      <c r="C180" s="325">
        <f t="shared" si="15"/>
        <v>0</v>
      </c>
      <c r="D180" s="325">
        <f t="shared" si="15"/>
        <v>0</v>
      </c>
    </row>
    <row r="181" spans="1:4" ht="31">
      <c r="A181" s="300" t="s">
        <v>516</v>
      </c>
      <c r="B181" s="324"/>
      <c r="C181" s="324">
        <f t="shared" si="15"/>
        <v>0</v>
      </c>
      <c r="D181" s="324">
        <f t="shared" si="15"/>
        <v>0</v>
      </c>
    </row>
    <row r="182" spans="1:4">
      <c r="A182" s="310" t="s">
        <v>517</v>
      </c>
      <c r="B182" s="325"/>
      <c r="C182" s="325">
        <f t="shared" si="15"/>
        <v>0</v>
      </c>
      <c r="D182" s="325">
        <f t="shared" si="15"/>
        <v>0</v>
      </c>
    </row>
    <row r="183" spans="1:4">
      <c r="A183" s="310" t="s">
        <v>518</v>
      </c>
      <c r="B183" s="325"/>
      <c r="C183" s="325">
        <f t="shared" si="15"/>
        <v>0</v>
      </c>
      <c r="D183" s="325">
        <f t="shared" si="15"/>
        <v>0</v>
      </c>
    </row>
    <row r="184" spans="1:4">
      <c r="A184" s="310" t="s">
        <v>519</v>
      </c>
      <c r="B184" s="325"/>
      <c r="C184" s="325">
        <f t="shared" si="15"/>
        <v>0</v>
      </c>
      <c r="D184" s="325">
        <f t="shared" si="15"/>
        <v>0</v>
      </c>
    </row>
    <row r="185" spans="1:4">
      <c r="A185" s="300" t="s">
        <v>189</v>
      </c>
      <c r="B185" s="324">
        <f>B186+B187</f>
        <v>180000</v>
      </c>
      <c r="C185" s="324">
        <f t="shared" ref="C185:D204" si="16">B185*1.05</f>
        <v>189000</v>
      </c>
      <c r="D185" s="324">
        <f t="shared" si="16"/>
        <v>198450</v>
      </c>
    </row>
    <row r="186" spans="1:4">
      <c r="A186" s="310" t="s">
        <v>431</v>
      </c>
      <c r="B186" s="326">
        <v>60000</v>
      </c>
      <c r="C186" s="325">
        <f t="shared" si="16"/>
        <v>63000</v>
      </c>
      <c r="D186" s="325">
        <f t="shared" si="16"/>
        <v>66150</v>
      </c>
    </row>
    <row r="187" spans="1:4">
      <c r="A187" s="310" t="s">
        <v>432</v>
      </c>
      <c r="B187" s="326">
        <v>120000</v>
      </c>
      <c r="C187" s="325">
        <f t="shared" si="16"/>
        <v>126000</v>
      </c>
      <c r="D187" s="325">
        <f t="shared" si="16"/>
        <v>132300</v>
      </c>
    </row>
    <row r="188" spans="1:4" ht="31">
      <c r="A188" s="300" t="s">
        <v>324</v>
      </c>
      <c r="B188" s="324">
        <f>B189+B190+B191</f>
        <v>151200</v>
      </c>
      <c r="C188" s="324">
        <f t="shared" si="16"/>
        <v>158760</v>
      </c>
      <c r="D188" s="324">
        <f t="shared" si="16"/>
        <v>166698</v>
      </c>
    </row>
    <row r="189" spans="1:4">
      <c r="A189" s="327" t="s">
        <v>433</v>
      </c>
      <c r="B189" s="326">
        <v>0</v>
      </c>
      <c r="C189" s="325">
        <f t="shared" si="16"/>
        <v>0</v>
      </c>
      <c r="D189" s="325">
        <f t="shared" si="16"/>
        <v>0</v>
      </c>
    </row>
    <row r="190" spans="1:4">
      <c r="A190" s="310" t="s">
        <v>434</v>
      </c>
      <c r="B190" s="326">
        <v>91200</v>
      </c>
      <c r="C190" s="325">
        <f t="shared" si="16"/>
        <v>95760</v>
      </c>
      <c r="D190" s="325">
        <f t="shared" si="16"/>
        <v>100548</v>
      </c>
    </row>
    <row r="191" spans="1:4">
      <c r="A191" s="310" t="s">
        <v>253</v>
      </c>
      <c r="B191" s="326">
        <v>60000</v>
      </c>
      <c r="C191" s="325">
        <f t="shared" si="16"/>
        <v>63000</v>
      </c>
      <c r="D191" s="325">
        <f t="shared" si="16"/>
        <v>66150</v>
      </c>
    </row>
    <row r="192" spans="1:4" ht="31">
      <c r="A192" s="300" t="s">
        <v>191</v>
      </c>
      <c r="B192" s="324">
        <f>B193+B194+B195+B196</f>
        <v>5125000</v>
      </c>
      <c r="C192" s="324">
        <f t="shared" si="16"/>
        <v>5381250</v>
      </c>
      <c r="D192" s="324">
        <f t="shared" si="16"/>
        <v>5650312.5</v>
      </c>
    </row>
    <row r="193" spans="1:4">
      <c r="A193" s="310" t="s">
        <v>435</v>
      </c>
      <c r="B193" s="326">
        <v>330000</v>
      </c>
      <c r="C193" s="325">
        <f t="shared" si="16"/>
        <v>346500</v>
      </c>
      <c r="D193" s="325">
        <f t="shared" si="16"/>
        <v>363825</v>
      </c>
    </row>
    <row r="194" spans="1:4">
      <c r="A194" s="310" t="s">
        <v>520</v>
      </c>
      <c r="B194" s="326">
        <v>537600</v>
      </c>
      <c r="C194" s="325">
        <f t="shared" si="16"/>
        <v>564480</v>
      </c>
      <c r="D194" s="325">
        <f t="shared" si="16"/>
        <v>592704</v>
      </c>
    </row>
    <row r="195" spans="1:4" ht="31">
      <c r="A195" s="310" t="s">
        <v>437</v>
      </c>
      <c r="B195" s="326">
        <f>-1000000+2100600</f>
        <v>1100600</v>
      </c>
      <c r="C195" s="325">
        <f t="shared" si="16"/>
        <v>1155630</v>
      </c>
      <c r="D195" s="325">
        <f t="shared" si="16"/>
        <v>1213411.5</v>
      </c>
    </row>
    <row r="196" spans="1:4">
      <c r="A196" s="298" t="s">
        <v>254</v>
      </c>
      <c r="B196" s="326">
        <f>156800+3000000</f>
        <v>3156800</v>
      </c>
      <c r="C196" s="325">
        <f t="shared" si="16"/>
        <v>3314640</v>
      </c>
      <c r="D196" s="325">
        <f t="shared" si="16"/>
        <v>3480372</v>
      </c>
    </row>
    <row r="197" spans="1:4" ht="31">
      <c r="A197" s="300" t="s">
        <v>439</v>
      </c>
      <c r="B197" s="324">
        <f>B198+B199+B200</f>
        <v>0</v>
      </c>
      <c r="C197" s="324">
        <f t="shared" si="16"/>
        <v>0</v>
      </c>
      <c r="D197" s="324">
        <f t="shared" si="16"/>
        <v>0</v>
      </c>
    </row>
    <row r="198" spans="1:4" ht="31">
      <c r="A198" s="310" t="s">
        <v>440</v>
      </c>
      <c r="B198" s="325">
        <v>0</v>
      </c>
      <c r="C198" s="325">
        <f t="shared" si="16"/>
        <v>0</v>
      </c>
      <c r="D198" s="325">
        <f t="shared" si="16"/>
        <v>0</v>
      </c>
    </row>
    <row r="199" spans="1:4">
      <c r="A199" s="310" t="s">
        <v>441</v>
      </c>
      <c r="B199" s="325">
        <v>0</v>
      </c>
      <c r="C199" s="325">
        <f t="shared" si="16"/>
        <v>0</v>
      </c>
      <c r="D199" s="325">
        <f t="shared" si="16"/>
        <v>0</v>
      </c>
    </row>
    <row r="200" spans="1:4">
      <c r="A200" s="310" t="s">
        <v>442</v>
      </c>
      <c r="B200" s="325"/>
      <c r="C200" s="325">
        <f t="shared" si="16"/>
        <v>0</v>
      </c>
      <c r="D200" s="325">
        <f t="shared" si="16"/>
        <v>0</v>
      </c>
    </row>
    <row r="201" spans="1:4" ht="31">
      <c r="A201" s="300" t="s">
        <v>195</v>
      </c>
      <c r="B201" s="324">
        <f>B202+B203+B204+B205</f>
        <v>281000</v>
      </c>
      <c r="C201" s="324">
        <f t="shared" si="16"/>
        <v>295050</v>
      </c>
      <c r="D201" s="324">
        <f t="shared" si="16"/>
        <v>309802.5</v>
      </c>
    </row>
    <row r="202" spans="1:4">
      <c r="A202" s="328" t="s">
        <v>233</v>
      </c>
      <c r="B202" s="326">
        <v>211000</v>
      </c>
      <c r="C202" s="325">
        <f t="shared" si="16"/>
        <v>221550</v>
      </c>
      <c r="D202" s="325">
        <f t="shared" si="16"/>
        <v>232627.5</v>
      </c>
    </row>
    <row r="203" spans="1:4" ht="31">
      <c r="A203" s="328" t="s">
        <v>255</v>
      </c>
      <c r="B203" s="326">
        <v>0</v>
      </c>
      <c r="C203" s="325">
        <f t="shared" si="16"/>
        <v>0</v>
      </c>
      <c r="D203" s="325">
        <f t="shared" si="16"/>
        <v>0</v>
      </c>
    </row>
    <row r="204" spans="1:4" ht="31">
      <c r="A204" s="328" t="s">
        <v>196</v>
      </c>
      <c r="B204" s="326">
        <v>70000</v>
      </c>
      <c r="C204" s="325">
        <f t="shared" si="16"/>
        <v>73500</v>
      </c>
      <c r="D204" s="325">
        <f t="shared" si="16"/>
        <v>77175</v>
      </c>
    </row>
    <row r="205" spans="1:4">
      <c r="A205" s="328" t="s">
        <v>328</v>
      </c>
      <c r="B205" s="325">
        <v>0</v>
      </c>
      <c r="C205" s="325">
        <f t="shared" ref="C205:D219" si="17">B205*1.05</f>
        <v>0</v>
      </c>
      <c r="D205" s="325">
        <f t="shared" si="17"/>
        <v>0</v>
      </c>
    </row>
    <row r="206" spans="1:4">
      <c r="A206" s="300" t="s">
        <v>256</v>
      </c>
      <c r="B206" s="324">
        <f>B207+B208</f>
        <v>0</v>
      </c>
      <c r="C206" s="324">
        <f t="shared" si="17"/>
        <v>0</v>
      </c>
      <c r="D206" s="324">
        <f t="shared" si="17"/>
        <v>0</v>
      </c>
    </row>
    <row r="207" spans="1:4">
      <c r="A207" s="310" t="s">
        <v>257</v>
      </c>
      <c r="B207" s="326">
        <v>0</v>
      </c>
      <c r="C207" s="325">
        <f t="shared" si="17"/>
        <v>0</v>
      </c>
      <c r="D207" s="325">
        <f t="shared" si="17"/>
        <v>0</v>
      </c>
    </row>
    <row r="208" spans="1:4">
      <c r="A208" s="310" t="s">
        <v>443</v>
      </c>
      <c r="B208" s="325"/>
      <c r="C208" s="325">
        <f t="shared" si="17"/>
        <v>0</v>
      </c>
      <c r="D208" s="325">
        <f t="shared" si="17"/>
        <v>0</v>
      </c>
    </row>
    <row r="209" spans="1:4">
      <c r="A209" s="300" t="s">
        <v>329</v>
      </c>
      <c r="B209" s="324">
        <f>B210+B211+B212+B214+B213+B215+B216</f>
        <v>388500</v>
      </c>
      <c r="C209" s="324">
        <f t="shared" si="17"/>
        <v>407925</v>
      </c>
      <c r="D209" s="324">
        <f t="shared" si="17"/>
        <v>428321.25</v>
      </c>
    </row>
    <row r="210" spans="1:4">
      <c r="A210" s="310" t="s">
        <v>259</v>
      </c>
      <c r="B210" s="326">
        <v>0</v>
      </c>
      <c r="C210" s="325">
        <f t="shared" si="17"/>
        <v>0</v>
      </c>
      <c r="D210" s="325">
        <f t="shared" si="17"/>
        <v>0</v>
      </c>
    </row>
    <row r="211" spans="1:4" ht="31">
      <c r="A211" s="310" t="s">
        <v>295</v>
      </c>
      <c r="B211" s="326">
        <v>100000</v>
      </c>
      <c r="C211" s="325">
        <f t="shared" si="17"/>
        <v>105000</v>
      </c>
      <c r="D211" s="325">
        <f t="shared" si="17"/>
        <v>110250</v>
      </c>
    </row>
    <row r="212" spans="1:4">
      <c r="A212" s="310" t="s">
        <v>289</v>
      </c>
      <c r="B212" s="325">
        <v>0</v>
      </c>
      <c r="C212" s="325">
        <f t="shared" si="17"/>
        <v>0</v>
      </c>
      <c r="D212" s="325">
        <f t="shared" si="17"/>
        <v>0</v>
      </c>
    </row>
    <row r="213" spans="1:4">
      <c r="A213" s="310" t="s">
        <v>444</v>
      </c>
      <c r="B213" s="325">
        <v>0</v>
      </c>
      <c r="C213" s="325">
        <f t="shared" si="17"/>
        <v>0</v>
      </c>
      <c r="D213" s="325">
        <f t="shared" si="17"/>
        <v>0</v>
      </c>
    </row>
    <row r="214" spans="1:4">
      <c r="A214" s="310" t="s">
        <v>445</v>
      </c>
      <c r="B214" s="326">
        <v>0</v>
      </c>
      <c r="C214" s="325">
        <f t="shared" si="17"/>
        <v>0</v>
      </c>
      <c r="D214" s="325">
        <f t="shared" si="17"/>
        <v>0</v>
      </c>
    </row>
    <row r="215" spans="1:4">
      <c r="A215" s="310" t="s">
        <v>446</v>
      </c>
      <c r="B215" s="326">
        <v>143500</v>
      </c>
      <c r="C215" s="325">
        <f t="shared" si="17"/>
        <v>150675</v>
      </c>
      <c r="D215" s="325">
        <f t="shared" si="17"/>
        <v>158208.75</v>
      </c>
    </row>
    <row r="216" spans="1:4">
      <c r="A216" s="310" t="s">
        <v>447</v>
      </c>
      <c r="B216" s="326">
        <v>145000</v>
      </c>
      <c r="C216" s="325">
        <f t="shared" si="17"/>
        <v>152250</v>
      </c>
      <c r="D216" s="325">
        <f t="shared" si="17"/>
        <v>159862.5</v>
      </c>
    </row>
    <row r="217" spans="1:4">
      <c r="A217" s="300" t="s">
        <v>200</v>
      </c>
      <c r="B217" s="324">
        <f>B218+B219</f>
        <v>1338790</v>
      </c>
      <c r="C217" s="324">
        <f t="shared" si="17"/>
        <v>1405729.5</v>
      </c>
      <c r="D217" s="324">
        <f t="shared" si="17"/>
        <v>1476015.9750000001</v>
      </c>
    </row>
    <row r="218" spans="1:4" ht="31">
      <c r="A218" s="310" t="s">
        <v>201</v>
      </c>
      <c r="B218" s="326">
        <v>396400</v>
      </c>
      <c r="C218" s="325">
        <f t="shared" si="17"/>
        <v>416220</v>
      </c>
      <c r="D218" s="325">
        <f t="shared" si="17"/>
        <v>437031</v>
      </c>
    </row>
    <row r="219" spans="1:4" ht="31">
      <c r="A219" s="310" t="s">
        <v>202</v>
      </c>
      <c r="B219" s="326">
        <v>942390</v>
      </c>
      <c r="C219" s="325">
        <f t="shared" si="17"/>
        <v>989509.5</v>
      </c>
      <c r="D219" s="325">
        <f t="shared" si="17"/>
        <v>1038984.9750000001</v>
      </c>
    </row>
    <row r="220" spans="1:4">
      <c r="A220" s="300" t="s">
        <v>448</v>
      </c>
      <c r="B220" s="329">
        <f>B221</f>
        <v>139500</v>
      </c>
      <c r="C220" s="329">
        <f>C221</f>
        <v>146475</v>
      </c>
      <c r="D220" s="329">
        <f>D221</f>
        <v>153798.75</v>
      </c>
    </row>
    <row r="221" spans="1:4">
      <c r="A221" s="310" t="s">
        <v>262</v>
      </c>
      <c r="B221" s="326">
        <v>139500</v>
      </c>
      <c r="C221" s="325">
        <f t="shared" ref="C221:D240" si="18">B221*1.05</f>
        <v>146475</v>
      </c>
      <c r="D221" s="325">
        <f t="shared" si="18"/>
        <v>153798.75</v>
      </c>
    </row>
    <row r="222" spans="1:4">
      <c r="A222" s="310" t="s">
        <v>450</v>
      </c>
      <c r="B222" s="325">
        <v>0</v>
      </c>
      <c r="C222" s="325">
        <f t="shared" si="18"/>
        <v>0</v>
      </c>
      <c r="D222" s="325">
        <f t="shared" si="18"/>
        <v>0</v>
      </c>
    </row>
    <row r="223" spans="1:4">
      <c r="A223" s="300" t="s">
        <v>290</v>
      </c>
      <c r="B223" s="324">
        <f>B224+B225+B226+B227+B228+B229+B230</f>
        <v>0</v>
      </c>
      <c r="C223" s="324">
        <f t="shared" si="18"/>
        <v>0</v>
      </c>
      <c r="D223" s="324">
        <f t="shared" si="18"/>
        <v>0</v>
      </c>
    </row>
    <row r="224" spans="1:4">
      <c r="A224" s="310" t="s">
        <v>451</v>
      </c>
      <c r="B224" s="325">
        <v>0</v>
      </c>
      <c r="C224" s="325">
        <f t="shared" si="18"/>
        <v>0</v>
      </c>
      <c r="D224" s="325">
        <f t="shared" si="18"/>
        <v>0</v>
      </c>
    </row>
    <row r="225" spans="1:4" ht="31">
      <c r="A225" s="310" t="s">
        <v>452</v>
      </c>
      <c r="B225" s="325">
        <v>0</v>
      </c>
      <c r="C225" s="325">
        <f t="shared" si="18"/>
        <v>0</v>
      </c>
      <c r="D225" s="325">
        <f t="shared" si="18"/>
        <v>0</v>
      </c>
    </row>
    <row r="226" spans="1:4" ht="31">
      <c r="A226" s="310" t="s">
        <v>453</v>
      </c>
      <c r="B226" s="325">
        <v>0</v>
      </c>
      <c r="C226" s="325">
        <f t="shared" si="18"/>
        <v>0</v>
      </c>
      <c r="D226" s="325">
        <f t="shared" si="18"/>
        <v>0</v>
      </c>
    </row>
    <row r="227" spans="1:4">
      <c r="A227" s="310" t="s">
        <v>454</v>
      </c>
      <c r="B227" s="325">
        <v>0</v>
      </c>
      <c r="C227" s="325">
        <f t="shared" si="18"/>
        <v>0</v>
      </c>
      <c r="D227" s="325">
        <f t="shared" si="18"/>
        <v>0</v>
      </c>
    </row>
    <row r="228" spans="1:4" ht="31">
      <c r="A228" s="310" t="s">
        <v>291</v>
      </c>
      <c r="B228" s="326">
        <v>0</v>
      </c>
      <c r="C228" s="325">
        <f t="shared" si="18"/>
        <v>0</v>
      </c>
      <c r="D228" s="325">
        <f t="shared" si="18"/>
        <v>0</v>
      </c>
    </row>
    <row r="229" spans="1:4">
      <c r="A229" s="310" t="s">
        <v>455</v>
      </c>
      <c r="B229" s="325">
        <v>0</v>
      </c>
      <c r="C229" s="325">
        <f t="shared" si="18"/>
        <v>0</v>
      </c>
      <c r="D229" s="325">
        <f t="shared" si="18"/>
        <v>0</v>
      </c>
    </row>
    <row r="230" spans="1:4">
      <c r="A230" s="310" t="s">
        <v>456</v>
      </c>
      <c r="B230" s="325">
        <v>0</v>
      </c>
      <c r="C230" s="325">
        <f t="shared" si="18"/>
        <v>0</v>
      </c>
      <c r="D230" s="325">
        <f t="shared" si="18"/>
        <v>0</v>
      </c>
    </row>
    <row r="231" spans="1:4" ht="31">
      <c r="A231" s="300" t="s">
        <v>205</v>
      </c>
      <c r="B231" s="324">
        <f>B232+B233+B234</f>
        <v>447025</v>
      </c>
      <c r="C231" s="324">
        <f t="shared" si="18"/>
        <v>469376.25</v>
      </c>
      <c r="D231" s="324">
        <f t="shared" si="18"/>
        <v>492845.0625</v>
      </c>
    </row>
    <row r="232" spans="1:4" ht="31">
      <c r="A232" s="310" t="s">
        <v>333</v>
      </c>
      <c r="B232" s="326">
        <v>296325</v>
      </c>
      <c r="C232" s="325">
        <f t="shared" si="18"/>
        <v>311141.25</v>
      </c>
      <c r="D232" s="325">
        <f t="shared" si="18"/>
        <v>326698.3125</v>
      </c>
    </row>
    <row r="233" spans="1:4" ht="31">
      <c r="A233" s="310" t="s">
        <v>263</v>
      </c>
      <c r="B233" s="326">
        <v>60000</v>
      </c>
      <c r="C233" s="325">
        <f t="shared" si="18"/>
        <v>63000</v>
      </c>
      <c r="D233" s="325">
        <f t="shared" si="18"/>
        <v>66150</v>
      </c>
    </row>
    <row r="234" spans="1:4" ht="31">
      <c r="A234" s="310" t="s">
        <v>207</v>
      </c>
      <c r="B234" s="326">
        <v>90700</v>
      </c>
      <c r="C234" s="325">
        <f t="shared" si="18"/>
        <v>95235</v>
      </c>
      <c r="D234" s="325">
        <f t="shared" si="18"/>
        <v>99996.75</v>
      </c>
    </row>
    <row r="235" spans="1:4">
      <c r="A235" s="300" t="s">
        <v>208</v>
      </c>
      <c r="B235" s="324">
        <f>B236</f>
        <v>804074</v>
      </c>
      <c r="C235" s="324">
        <f t="shared" si="18"/>
        <v>844277.70000000007</v>
      </c>
      <c r="D235" s="324">
        <f t="shared" si="18"/>
        <v>886491.58500000008</v>
      </c>
    </row>
    <row r="236" spans="1:4">
      <c r="A236" s="310" t="s">
        <v>457</v>
      </c>
      <c r="B236" s="326">
        <v>804074</v>
      </c>
      <c r="C236" s="325">
        <f t="shared" si="18"/>
        <v>844277.70000000007</v>
      </c>
      <c r="D236" s="325">
        <f t="shared" si="18"/>
        <v>886491.58500000008</v>
      </c>
    </row>
    <row r="237" spans="1:4">
      <c r="A237" s="300" t="s">
        <v>210</v>
      </c>
      <c r="B237" s="324">
        <f>B238+B239+B240+B241+B242+B243</f>
        <v>115300</v>
      </c>
      <c r="C237" s="324">
        <f t="shared" si="18"/>
        <v>121065</v>
      </c>
      <c r="D237" s="324">
        <f t="shared" si="18"/>
        <v>127118.25</v>
      </c>
    </row>
    <row r="238" spans="1:4">
      <c r="A238" s="310" t="s">
        <v>458</v>
      </c>
      <c r="B238" s="325">
        <v>0</v>
      </c>
      <c r="C238" s="325">
        <f t="shared" si="18"/>
        <v>0</v>
      </c>
      <c r="D238" s="325">
        <f t="shared" si="18"/>
        <v>0</v>
      </c>
    </row>
    <row r="239" spans="1:4" ht="31">
      <c r="A239" s="310" t="s">
        <v>459</v>
      </c>
      <c r="B239" s="325">
        <v>0</v>
      </c>
      <c r="C239" s="325">
        <f t="shared" si="18"/>
        <v>0</v>
      </c>
      <c r="D239" s="325">
        <f t="shared" si="18"/>
        <v>0</v>
      </c>
    </row>
    <row r="240" spans="1:4" ht="31">
      <c r="A240" s="310" t="s">
        <v>211</v>
      </c>
      <c r="B240" s="326">
        <v>115300</v>
      </c>
      <c r="C240" s="325">
        <f t="shared" si="18"/>
        <v>121065</v>
      </c>
      <c r="D240" s="325">
        <f t="shared" si="18"/>
        <v>127118.25</v>
      </c>
    </row>
    <row r="241" spans="1:4" ht="31">
      <c r="A241" s="310" t="s">
        <v>460</v>
      </c>
      <c r="B241" s="326">
        <v>0</v>
      </c>
      <c r="C241" s="325">
        <f t="shared" ref="C241:D260" si="19">B241*1.05</f>
        <v>0</v>
      </c>
      <c r="D241" s="325">
        <f t="shared" si="19"/>
        <v>0</v>
      </c>
    </row>
    <row r="242" spans="1:4" ht="31">
      <c r="A242" s="310" t="s">
        <v>461</v>
      </c>
      <c r="B242" s="326">
        <v>0</v>
      </c>
      <c r="C242" s="325">
        <f t="shared" si="19"/>
        <v>0</v>
      </c>
      <c r="D242" s="325">
        <f t="shared" si="19"/>
        <v>0</v>
      </c>
    </row>
    <row r="243" spans="1:4">
      <c r="A243" s="310" t="s">
        <v>462</v>
      </c>
      <c r="B243" s="326">
        <v>0</v>
      </c>
      <c r="C243" s="325">
        <f t="shared" si="19"/>
        <v>0</v>
      </c>
      <c r="D243" s="325">
        <f t="shared" si="19"/>
        <v>0</v>
      </c>
    </row>
    <row r="244" spans="1:4" ht="31">
      <c r="A244" s="300" t="s">
        <v>212</v>
      </c>
      <c r="B244" s="324">
        <f>B245</f>
        <v>367500</v>
      </c>
      <c r="C244" s="324">
        <f t="shared" si="19"/>
        <v>385875</v>
      </c>
      <c r="D244" s="324">
        <f t="shared" si="19"/>
        <v>405168.75</v>
      </c>
    </row>
    <row r="245" spans="1:4" ht="31">
      <c r="A245" s="310" t="s">
        <v>213</v>
      </c>
      <c r="B245" s="326">
        <v>367500</v>
      </c>
      <c r="C245" s="325">
        <f t="shared" si="19"/>
        <v>385875</v>
      </c>
      <c r="D245" s="325">
        <f t="shared" si="19"/>
        <v>405168.75</v>
      </c>
    </row>
    <row r="246" spans="1:4">
      <c r="A246" s="300" t="s">
        <v>267</v>
      </c>
      <c r="B246" s="324">
        <f>B247+B248+B249+B250</f>
        <v>60000</v>
      </c>
      <c r="C246" s="324">
        <f t="shared" si="19"/>
        <v>63000</v>
      </c>
      <c r="D246" s="324">
        <f t="shared" si="19"/>
        <v>66150</v>
      </c>
    </row>
    <row r="247" spans="1:4" ht="31">
      <c r="A247" s="310" t="s">
        <v>521</v>
      </c>
      <c r="B247" s="325">
        <v>0</v>
      </c>
      <c r="C247" s="325">
        <f t="shared" si="19"/>
        <v>0</v>
      </c>
      <c r="D247" s="325">
        <f t="shared" si="19"/>
        <v>0</v>
      </c>
    </row>
    <row r="248" spans="1:4" ht="31">
      <c r="A248" s="310" t="s">
        <v>337</v>
      </c>
      <c r="B248" s="325">
        <v>0</v>
      </c>
      <c r="C248" s="325">
        <f t="shared" si="19"/>
        <v>0</v>
      </c>
      <c r="D248" s="325">
        <f t="shared" si="19"/>
        <v>0</v>
      </c>
    </row>
    <row r="249" spans="1:4" ht="31">
      <c r="A249" s="310" t="s">
        <v>268</v>
      </c>
      <c r="B249" s="326">
        <v>0</v>
      </c>
      <c r="C249" s="325">
        <f t="shared" si="19"/>
        <v>0</v>
      </c>
      <c r="D249" s="325">
        <f t="shared" si="19"/>
        <v>0</v>
      </c>
    </row>
    <row r="250" spans="1:4" ht="31">
      <c r="A250" s="310" t="s">
        <v>464</v>
      </c>
      <c r="B250" s="326">
        <v>60000</v>
      </c>
      <c r="C250" s="325">
        <f t="shared" si="19"/>
        <v>63000</v>
      </c>
      <c r="D250" s="325">
        <f t="shared" si="19"/>
        <v>66150</v>
      </c>
    </row>
    <row r="251" spans="1:4" ht="31">
      <c r="A251" s="300" t="s">
        <v>466</v>
      </c>
      <c r="B251" s="324">
        <f>B252+B253</f>
        <v>0</v>
      </c>
      <c r="C251" s="324">
        <f t="shared" si="19"/>
        <v>0</v>
      </c>
      <c r="D251" s="324">
        <f t="shared" si="19"/>
        <v>0</v>
      </c>
    </row>
    <row r="252" spans="1:4">
      <c r="A252" s="310" t="s">
        <v>467</v>
      </c>
      <c r="B252" s="325"/>
      <c r="C252" s="325">
        <f t="shared" si="19"/>
        <v>0</v>
      </c>
      <c r="D252" s="325">
        <f t="shared" si="19"/>
        <v>0</v>
      </c>
    </row>
    <row r="253" spans="1:4">
      <c r="A253" s="310" t="s">
        <v>468</v>
      </c>
      <c r="B253" s="325"/>
      <c r="C253" s="325">
        <f t="shared" si="19"/>
        <v>0</v>
      </c>
      <c r="D253" s="325">
        <f t="shared" si="19"/>
        <v>0</v>
      </c>
    </row>
    <row r="254" spans="1:4" ht="31">
      <c r="A254" s="300" t="s">
        <v>469</v>
      </c>
      <c r="B254" s="324">
        <f>B255</f>
        <v>0</v>
      </c>
      <c r="C254" s="324">
        <f t="shared" si="19"/>
        <v>0</v>
      </c>
      <c r="D254" s="324">
        <f t="shared" si="19"/>
        <v>0</v>
      </c>
    </row>
    <row r="255" spans="1:4" ht="31">
      <c r="A255" s="333" t="s">
        <v>470</v>
      </c>
      <c r="B255" s="325"/>
      <c r="C255" s="325">
        <f t="shared" si="19"/>
        <v>0</v>
      </c>
      <c r="D255" s="325">
        <f t="shared" si="19"/>
        <v>0</v>
      </c>
    </row>
    <row r="256" spans="1:4" ht="31">
      <c r="A256" s="300" t="s">
        <v>270</v>
      </c>
      <c r="B256" s="324">
        <f>B257+B258</f>
        <v>0</v>
      </c>
      <c r="C256" s="324">
        <f t="shared" si="19"/>
        <v>0</v>
      </c>
      <c r="D256" s="324">
        <f t="shared" si="19"/>
        <v>0</v>
      </c>
    </row>
    <row r="257" spans="1:4" ht="31">
      <c r="A257" s="310" t="s">
        <v>281</v>
      </c>
      <c r="B257" s="326">
        <v>0</v>
      </c>
      <c r="C257" s="325">
        <f t="shared" si="19"/>
        <v>0</v>
      </c>
      <c r="D257" s="325">
        <f t="shared" si="19"/>
        <v>0</v>
      </c>
    </row>
    <row r="258" spans="1:4" ht="31">
      <c r="A258" s="310" t="s">
        <v>272</v>
      </c>
      <c r="B258" s="326">
        <v>0</v>
      </c>
      <c r="C258" s="325">
        <f t="shared" si="19"/>
        <v>0</v>
      </c>
      <c r="D258" s="325">
        <f t="shared" si="19"/>
        <v>0</v>
      </c>
    </row>
    <row r="259" spans="1:4" ht="31">
      <c r="A259" s="300" t="s">
        <v>471</v>
      </c>
      <c r="B259" s="324">
        <f>B260</f>
        <v>0</v>
      </c>
      <c r="C259" s="324">
        <f t="shared" si="19"/>
        <v>0</v>
      </c>
      <c r="D259" s="324">
        <f t="shared" si="19"/>
        <v>0</v>
      </c>
    </row>
    <row r="260" spans="1:4" ht="31">
      <c r="A260" s="328" t="s">
        <v>472</v>
      </c>
      <c r="B260" s="326">
        <v>0</v>
      </c>
      <c r="C260" s="325">
        <f t="shared" si="19"/>
        <v>0</v>
      </c>
      <c r="D260" s="325">
        <f t="shared" si="19"/>
        <v>0</v>
      </c>
    </row>
    <row r="261" spans="1:4">
      <c r="A261" s="300" t="s">
        <v>473</v>
      </c>
      <c r="B261" s="324">
        <f>B259+B256+B251+B254+B246+B244+B237+B235+B231+B220+B217+B209+B206+B201+B192+B188+B185+B167+B165</f>
        <v>9397889</v>
      </c>
      <c r="C261" s="324">
        <f>C259+C256+C251+C254+C246+C244+C237+C235+C231+C220+C217+C209+C206+C201+C192+C188+C185+C165</f>
        <v>9867783.4499999993</v>
      </c>
      <c r="D261" s="324">
        <f>D259+D256+D251+D254+D246+D244+D237+D235+D231+D220+D217+D209+D206+D201+D192+D188+D185+D165</f>
        <v>10361172.622500001</v>
      </c>
    </row>
    <row r="262" spans="1:4">
      <c r="A262" s="300" t="s">
        <v>522</v>
      </c>
      <c r="B262" s="325"/>
      <c r="C262" s="325">
        <f t="shared" ref="C262:D283" si="20">B262*1.05</f>
        <v>0</v>
      </c>
      <c r="D262" s="325">
        <f t="shared" si="20"/>
        <v>0</v>
      </c>
    </row>
    <row r="263" spans="1:4">
      <c r="A263" s="310" t="s">
        <v>523</v>
      </c>
      <c r="B263" s="325"/>
      <c r="C263" s="325">
        <f t="shared" si="20"/>
        <v>0</v>
      </c>
      <c r="D263" s="325">
        <f t="shared" si="20"/>
        <v>0</v>
      </c>
    </row>
    <row r="264" spans="1:4">
      <c r="A264" s="300" t="s">
        <v>524</v>
      </c>
      <c r="B264" s="324">
        <f>B263</f>
        <v>0</v>
      </c>
      <c r="C264" s="324">
        <f t="shared" si="20"/>
        <v>0</v>
      </c>
      <c r="D264" s="324">
        <f t="shared" si="20"/>
        <v>0</v>
      </c>
    </row>
    <row r="265" spans="1:4">
      <c r="A265" s="300" t="s">
        <v>525</v>
      </c>
      <c r="B265" s="324">
        <f>B261-B264</f>
        <v>9397889</v>
      </c>
      <c r="C265" s="324">
        <f t="shared" si="20"/>
        <v>9867783.4500000011</v>
      </c>
      <c r="D265" s="324">
        <f t="shared" si="20"/>
        <v>10361172.622500002</v>
      </c>
    </row>
    <row r="266" spans="1:4">
      <c r="A266" s="300" t="s">
        <v>106</v>
      </c>
      <c r="B266" s="325"/>
      <c r="C266" s="325">
        <f t="shared" si="20"/>
        <v>0</v>
      </c>
      <c r="D266" s="325">
        <f t="shared" si="20"/>
        <v>0</v>
      </c>
    </row>
    <row r="267" spans="1:4">
      <c r="A267" s="300" t="s">
        <v>474</v>
      </c>
      <c r="B267" s="325"/>
      <c r="C267" s="325">
        <f t="shared" si="20"/>
        <v>0</v>
      </c>
      <c r="D267" s="325">
        <f t="shared" si="20"/>
        <v>0</v>
      </c>
    </row>
    <row r="268" spans="1:4">
      <c r="A268" s="328" t="s">
        <v>224</v>
      </c>
      <c r="B268" s="326">
        <v>0</v>
      </c>
      <c r="C268" s="325">
        <f t="shared" si="20"/>
        <v>0</v>
      </c>
      <c r="D268" s="325">
        <f t="shared" si="20"/>
        <v>0</v>
      </c>
    </row>
    <row r="269" spans="1:4">
      <c r="A269" s="328" t="s">
        <v>476</v>
      </c>
      <c r="B269" s="325">
        <v>0</v>
      </c>
      <c r="C269" s="325">
        <f t="shared" si="20"/>
        <v>0</v>
      </c>
      <c r="D269" s="325">
        <f t="shared" si="20"/>
        <v>0</v>
      </c>
    </row>
    <row r="270" spans="1:4" ht="31">
      <c r="A270" s="328" t="s">
        <v>478</v>
      </c>
      <c r="B270" s="438">
        <v>6444182</v>
      </c>
      <c r="C270" s="325">
        <f t="shared" si="20"/>
        <v>6766391.1000000006</v>
      </c>
      <c r="D270" s="325">
        <f t="shared" si="20"/>
        <v>7104710.6550000012</v>
      </c>
    </row>
    <row r="271" spans="1:4">
      <c r="A271" s="328" t="s">
        <v>483</v>
      </c>
      <c r="B271" s="326">
        <v>0</v>
      </c>
      <c r="C271" s="325">
        <f t="shared" si="20"/>
        <v>0</v>
      </c>
      <c r="D271" s="325">
        <f t="shared" si="20"/>
        <v>0</v>
      </c>
    </row>
    <row r="272" spans="1:4">
      <c r="A272" s="328" t="s">
        <v>526</v>
      </c>
      <c r="B272" s="326">
        <f>8308166+1966049</f>
        <v>10274215</v>
      </c>
      <c r="C272" s="325">
        <f t="shared" si="20"/>
        <v>10787925.75</v>
      </c>
      <c r="D272" s="325">
        <f t="shared" si="20"/>
        <v>11327322.0375</v>
      </c>
    </row>
    <row r="273" spans="1:4">
      <c r="A273" s="300" t="s">
        <v>484</v>
      </c>
      <c r="B273" s="324">
        <f>SUM(B268:B272)</f>
        <v>16718397</v>
      </c>
      <c r="C273" s="324">
        <f t="shared" si="20"/>
        <v>17554316.850000001</v>
      </c>
      <c r="D273" s="324">
        <f t="shared" si="20"/>
        <v>18432032.692500003</v>
      </c>
    </row>
    <row r="274" spans="1:4">
      <c r="A274" s="300" t="s">
        <v>485</v>
      </c>
      <c r="B274" s="324">
        <f>B261</f>
        <v>9397889</v>
      </c>
      <c r="C274" s="324">
        <f t="shared" si="20"/>
        <v>9867783.4500000011</v>
      </c>
      <c r="D274" s="324">
        <f t="shared" si="20"/>
        <v>10361172.622500002</v>
      </c>
    </row>
    <row r="275" spans="1:4">
      <c r="A275" s="300" t="s">
        <v>486</v>
      </c>
      <c r="B275" s="324">
        <f>B274+B273</f>
        <v>26116286</v>
      </c>
      <c r="C275" s="324">
        <f t="shared" si="20"/>
        <v>27422100.300000001</v>
      </c>
      <c r="D275" s="324">
        <f t="shared" si="20"/>
        <v>28793205.315000001</v>
      </c>
    </row>
    <row r="276" spans="1:4">
      <c r="A276" s="300" t="s">
        <v>487</v>
      </c>
      <c r="B276" s="325"/>
      <c r="C276" s="325">
        <f t="shared" si="20"/>
        <v>0</v>
      </c>
      <c r="D276" s="325">
        <f t="shared" si="20"/>
        <v>0</v>
      </c>
    </row>
    <row r="277" spans="1:4">
      <c r="A277" s="298" t="s">
        <v>438</v>
      </c>
      <c r="B277" s="326">
        <v>0</v>
      </c>
      <c r="C277" s="325">
        <f t="shared" si="20"/>
        <v>0</v>
      </c>
      <c r="D277" s="325">
        <f t="shared" si="20"/>
        <v>0</v>
      </c>
    </row>
    <row r="278" spans="1:4">
      <c r="A278" s="300" t="s">
        <v>527</v>
      </c>
      <c r="B278" s="324">
        <f>B277</f>
        <v>0</v>
      </c>
      <c r="C278" s="324">
        <f t="shared" si="20"/>
        <v>0</v>
      </c>
      <c r="D278" s="324">
        <f t="shared" si="20"/>
        <v>0</v>
      </c>
    </row>
    <row r="279" spans="1:4">
      <c r="A279" s="300" t="s">
        <v>500</v>
      </c>
      <c r="B279" s="324">
        <f>B274+B278</f>
        <v>9397889</v>
      </c>
      <c r="C279" s="324">
        <f t="shared" si="20"/>
        <v>9867783.4500000011</v>
      </c>
      <c r="D279" s="324">
        <f t="shared" si="20"/>
        <v>10361172.622500002</v>
      </c>
    </row>
    <row r="280" spans="1:4">
      <c r="A280" s="300" t="s">
        <v>501</v>
      </c>
      <c r="B280" s="324">
        <f>B273</f>
        <v>16718397</v>
      </c>
      <c r="C280" s="324">
        <f t="shared" si="20"/>
        <v>17554316.850000001</v>
      </c>
      <c r="D280" s="324">
        <f t="shared" si="20"/>
        <v>18432032.692500003</v>
      </c>
    </row>
    <row r="281" spans="1:4">
      <c r="A281" s="300" t="s">
        <v>502</v>
      </c>
      <c r="B281" s="334">
        <f>B280+B279</f>
        <v>26116286</v>
      </c>
      <c r="C281" s="334">
        <f t="shared" si="20"/>
        <v>27422100.300000001</v>
      </c>
      <c r="D281" s="334">
        <f t="shared" si="20"/>
        <v>28793205.315000001</v>
      </c>
    </row>
    <row r="282" spans="1:4">
      <c r="A282" s="300" t="s">
        <v>106</v>
      </c>
      <c r="B282" s="325"/>
      <c r="C282" s="325">
        <f t="shared" si="20"/>
        <v>0</v>
      </c>
      <c r="D282" s="325">
        <f t="shared" si="20"/>
        <v>0</v>
      </c>
    </row>
    <row r="283" spans="1:4">
      <c r="A283" s="300" t="s">
        <v>528</v>
      </c>
      <c r="B283" s="324"/>
      <c r="C283" s="324">
        <f t="shared" si="20"/>
        <v>0</v>
      </c>
      <c r="D283" s="324">
        <f t="shared" si="20"/>
        <v>0</v>
      </c>
    </row>
    <row r="284" spans="1:4" ht="31">
      <c r="A284" s="300" t="s">
        <v>160</v>
      </c>
      <c r="B284" s="332" t="s">
        <v>424</v>
      </c>
      <c r="C284" s="332" t="s">
        <v>425</v>
      </c>
      <c r="D284" s="332" t="s">
        <v>426</v>
      </c>
    </row>
    <row r="285" spans="1:4">
      <c r="A285" s="300" t="s">
        <v>427</v>
      </c>
      <c r="B285" s="335"/>
      <c r="C285" s="335">
        <f t="shared" ref="C285:D304" si="21">B285*1.05</f>
        <v>0</v>
      </c>
      <c r="D285" s="335">
        <f t="shared" si="21"/>
        <v>0</v>
      </c>
    </row>
    <row r="286" spans="1:4">
      <c r="A286" s="310" t="s">
        <v>428</v>
      </c>
      <c r="B286" s="325">
        <v>0</v>
      </c>
      <c r="C286" s="325">
        <f t="shared" si="21"/>
        <v>0</v>
      </c>
      <c r="D286" s="325">
        <f t="shared" si="21"/>
        <v>0</v>
      </c>
    </row>
    <row r="287" spans="1:4" ht="31">
      <c r="A287" s="300" t="s">
        <v>429</v>
      </c>
      <c r="B287" s="335">
        <f>B288</f>
        <v>0</v>
      </c>
      <c r="C287" s="335">
        <f t="shared" si="21"/>
        <v>0</v>
      </c>
      <c r="D287" s="335">
        <f t="shared" si="21"/>
        <v>0</v>
      </c>
    </row>
    <row r="288" spans="1:4">
      <c r="A288" s="310" t="s">
        <v>430</v>
      </c>
      <c r="B288" s="325">
        <v>0</v>
      </c>
      <c r="C288" s="325">
        <f t="shared" si="21"/>
        <v>0</v>
      </c>
      <c r="D288" s="325">
        <f t="shared" si="21"/>
        <v>0</v>
      </c>
    </row>
    <row r="289" spans="1:4">
      <c r="A289" s="300" t="s">
        <v>189</v>
      </c>
      <c r="B289" s="335">
        <f>B290+B291</f>
        <v>1428684</v>
      </c>
      <c r="C289" s="335">
        <f t="shared" si="21"/>
        <v>1500118.2</v>
      </c>
      <c r="D289" s="335">
        <f t="shared" si="21"/>
        <v>1575124.11</v>
      </c>
    </row>
    <row r="290" spans="1:4">
      <c r="A290" s="310" t="s">
        <v>431</v>
      </c>
      <c r="B290" s="326">
        <v>423084</v>
      </c>
      <c r="C290" s="325">
        <f t="shared" si="21"/>
        <v>444238.2</v>
      </c>
      <c r="D290" s="325">
        <f t="shared" si="21"/>
        <v>466450.11000000004</v>
      </c>
    </row>
    <row r="291" spans="1:4">
      <c r="A291" s="310" t="s">
        <v>432</v>
      </c>
      <c r="B291" s="326">
        <v>1005600</v>
      </c>
      <c r="C291" s="325">
        <f t="shared" si="21"/>
        <v>1055880</v>
      </c>
      <c r="D291" s="325">
        <f t="shared" si="21"/>
        <v>1108674</v>
      </c>
    </row>
    <row r="292" spans="1:4" ht="31">
      <c r="A292" s="300" t="s">
        <v>324</v>
      </c>
      <c r="B292" s="335">
        <f>B293+B294</f>
        <v>50000</v>
      </c>
      <c r="C292" s="335">
        <f t="shared" si="21"/>
        <v>52500</v>
      </c>
      <c r="D292" s="335">
        <f t="shared" si="21"/>
        <v>55125</v>
      </c>
    </row>
    <row r="293" spans="1:4">
      <c r="A293" s="327" t="s">
        <v>433</v>
      </c>
      <c r="B293" s="326">
        <v>0</v>
      </c>
      <c r="C293" s="325">
        <f t="shared" si="21"/>
        <v>0</v>
      </c>
      <c r="D293" s="325">
        <f t="shared" si="21"/>
        <v>0</v>
      </c>
    </row>
    <row r="294" spans="1:4">
      <c r="A294" s="310" t="s">
        <v>434</v>
      </c>
      <c r="B294" s="326">
        <v>50000</v>
      </c>
      <c r="C294" s="325">
        <f t="shared" si="21"/>
        <v>52500</v>
      </c>
      <c r="D294" s="325">
        <f t="shared" si="21"/>
        <v>55125</v>
      </c>
    </row>
    <row r="295" spans="1:4">
      <c r="A295" s="310" t="s">
        <v>253</v>
      </c>
      <c r="B295" s="326">
        <v>50000</v>
      </c>
      <c r="C295" s="325">
        <f t="shared" si="21"/>
        <v>52500</v>
      </c>
      <c r="D295" s="325">
        <f t="shared" si="21"/>
        <v>55125</v>
      </c>
    </row>
    <row r="296" spans="1:4" ht="31">
      <c r="A296" s="300" t="s">
        <v>191</v>
      </c>
      <c r="B296" s="335">
        <f>B297+B298+B299+B300</f>
        <v>7407651</v>
      </c>
      <c r="C296" s="335">
        <f t="shared" si="21"/>
        <v>7778033.5500000007</v>
      </c>
      <c r="D296" s="335">
        <f t="shared" si="21"/>
        <v>8166935.227500001</v>
      </c>
    </row>
    <row r="297" spans="1:4">
      <c r="A297" s="310" t="s">
        <v>435</v>
      </c>
      <c r="B297" s="326">
        <f>-250000+696000</f>
        <v>446000</v>
      </c>
      <c r="C297" s="325">
        <f t="shared" si="21"/>
        <v>468300</v>
      </c>
      <c r="D297" s="325">
        <f t="shared" si="21"/>
        <v>491715</v>
      </c>
    </row>
    <row r="298" spans="1:4">
      <c r="A298" s="310" t="s">
        <v>436</v>
      </c>
      <c r="B298" s="326">
        <f>-250000+672000</f>
        <v>422000</v>
      </c>
      <c r="C298" s="325">
        <f t="shared" si="21"/>
        <v>443100</v>
      </c>
      <c r="D298" s="325">
        <f t="shared" si="21"/>
        <v>465255</v>
      </c>
    </row>
    <row r="299" spans="1:4" ht="31">
      <c r="A299" s="310" t="s">
        <v>437</v>
      </c>
      <c r="B299" s="326">
        <v>1162206</v>
      </c>
      <c r="C299" s="325">
        <f t="shared" si="21"/>
        <v>1220316.3</v>
      </c>
      <c r="D299" s="325">
        <f t="shared" si="21"/>
        <v>1281332.115</v>
      </c>
    </row>
    <row r="300" spans="1:4">
      <c r="A300" s="298" t="s">
        <v>254</v>
      </c>
      <c r="B300" s="326">
        <f>-250000+627445+5000000</f>
        <v>5377445</v>
      </c>
      <c r="C300" s="325">
        <f t="shared" si="21"/>
        <v>5646317.25</v>
      </c>
      <c r="D300" s="325">
        <f t="shared" si="21"/>
        <v>5928633.1124999998</v>
      </c>
    </row>
    <row r="301" spans="1:4" ht="31">
      <c r="A301" s="300" t="s">
        <v>439</v>
      </c>
      <c r="B301" s="335">
        <f>B302+B303+B304</f>
        <v>0</v>
      </c>
      <c r="C301" s="335">
        <f t="shared" si="21"/>
        <v>0</v>
      </c>
      <c r="D301" s="335">
        <f t="shared" si="21"/>
        <v>0</v>
      </c>
    </row>
    <row r="302" spans="1:4" ht="31">
      <c r="A302" s="310" t="s">
        <v>440</v>
      </c>
      <c r="B302" s="325"/>
      <c r="C302" s="325">
        <f t="shared" si="21"/>
        <v>0</v>
      </c>
      <c r="D302" s="325">
        <f t="shared" si="21"/>
        <v>0</v>
      </c>
    </row>
    <row r="303" spans="1:4">
      <c r="A303" s="310" t="s">
        <v>441</v>
      </c>
      <c r="B303" s="325"/>
      <c r="C303" s="325">
        <f t="shared" si="21"/>
        <v>0</v>
      </c>
      <c r="D303" s="325">
        <f t="shared" si="21"/>
        <v>0</v>
      </c>
    </row>
    <row r="304" spans="1:4">
      <c r="A304" s="310" t="s">
        <v>442</v>
      </c>
      <c r="B304" s="325"/>
      <c r="C304" s="325">
        <f t="shared" si="21"/>
        <v>0</v>
      </c>
      <c r="D304" s="325">
        <f t="shared" si="21"/>
        <v>0</v>
      </c>
    </row>
    <row r="305" spans="1:4" ht="31">
      <c r="A305" s="300" t="s">
        <v>195</v>
      </c>
      <c r="B305" s="335">
        <f>B306+B307+B308+B309</f>
        <v>255500</v>
      </c>
      <c r="C305" s="335">
        <f t="shared" ref="C305:D324" si="22">B305*1.05</f>
        <v>268275</v>
      </c>
      <c r="D305" s="335">
        <f t="shared" si="22"/>
        <v>281688.75</v>
      </c>
    </row>
    <row r="306" spans="1:4">
      <c r="A306" s="328" t="s">
        <v>233</v>
      </c>
      <c r="B306" s="326">
        <v>0</v>
      </c>
      <c r="C306" s="325">
        <f t="shared" si="22"/>
        <v>0</v>
      </c>
      <c r="D306" s="325">
        <f t="shared" si="22"/>
        <v>0</v>
      </c>
    </row>
    <row r="307" spans="1:4" ht="31">
      <c r="A307" s="328" t="s">
        <v>255</v>
      </c>
      <c r="B307" s="326">
        <v>0</v>
      </c>
      <c r="C307" s="325">
        <f t="shared" si="22"/>
        <v>0</v>
      </c>
      <c r="D307" s="325">
        <f t="shared" si="22"/>
        <v>0</v>
      </c>
    </row>
    <row r="308" spans="1:4" ht="31">
      <c r="A308" s="328" t="s">
        <v>196</v>
      </c>
      <c r="B308" s="326">
        <v>255500</v>
      </c>
      <c r="C308" s="325">
        <f t="shared" si="22"/>
        <v>268275</v>
      </c>
      <c r="D308" s="325">
        <f t="shared" si="22"/>
        <v>281688.75</v>
      </c>
    </row>
    <row r="309" spans="1:4">
      <c r="A309" s="328" t="s">
        <v>328</v>
      </c>
      <c r="B309" s="326"/>
      <c r="C309" s="325">
        <f t="shared" si="22"/>
        <v>0</v>
      </c>
      <c r="D309" s="325">
        <f t="shared" si="22"/>
        <v>0</v>
      </c>
    </row>
    <row r="310" spans="1:4">
      <c r="A310" s="300" t="s">
        <v>256</v>
      </c>
      <c r="B310" s="325">
        <f>B311+B312</f>
        <v>0</v>
      </c>
      <c r="C310" s="325">
        <f t="shared" si="22"/>
        <v>0</v>
      </c>
      <c r="D310" s="325">
        <f t="shared" si="22"/>
        <v>0</v>
      </c>
    </row>
    <row r="311" spans="1:4">
      <c r="A311" s="310" t="s">
        <v>257</v>
      </c>
      <c r="B311" s="325">
        <v>0</v>
      </c>
      <c r="C311" s="325">
        <f t="shared" si="22"/>
        <v>0</v>
      </c>
      <c r="D311" s="325">
        <f t="shared" si="22"/>
        <v>0</v>
      </c>
    </row>
    <row r="312" spans="1:4">
      <c r="A312" s="310" t="s">
        <v>443</v>
      </c>
      <c r="B312" s="325">
        <v>0</v>
      </c>
      <c r="C312" s="325">
        <f t="shared" si="22"/>
        <v>0</v>
      </c>
      <c r="D312" s="325">
        <f t="shared" si="22"/>
        <v>0</v>
      </c>
    </row>
    <row r="313" spans="1:4">
      <c r="A313" s="300" t="s">
        <v>329</v>
      </c>
      <c r="B313" s="335">
        <f>B314+B315+B316+B317+B318+B319+B320+B321</f>
        <v>1763000</v>
      </c>
      <c r="C313" s="335">
        <f t="shared" si="22"/>
        <v>1851150</v>
      </c>
      <c r="D313" s="335">
        <f t="shared" si="22"/>
        <v>1943707.5</v>
      </c>
    </row>
    <row r="314" spans="1:4">
      <c r="A314" s="310" t="s">
        <v>259</v>
      </c>
      <c r="B314" s="326">
        <v>0</v>
      </c>
      <c r="C314" s="325">
        <f t="shared" si="22"/>
        <v>0</v>
      </c>
      <c r="D314" s="325">
        <f t="shared" si="22"/>
        <v>0</v>
      </c>
    </row>
    <row r="315" spans="1:4" ht="31">
      <c r="A315" s="310" t="s">
        <v>294</v>
      </c>
      <c r="B315" s="325">
        <v>0</v>
      </c>
      <c r="C315" s="325">
        <f t="shared" si="22"/>
        <v>0</v>
      </c>
      <c r="D315" s="325">
        <f t="shared" si="22"/>
        <v>0</v>
      </c>
    </row>
    <row r="316" spans="1:4" ht="31">
      <c r="A316" s="310" t="s">
        <v>295</v>
      </c>
      <c r="B316" s="325">
        <v>0</v>
      </c>
      <c r="C316" s="325">
        <f t="shared" si="22"/>
        <v>0</v>
      </c>
      <c r="D316" s="325">
        <f t="shared" si="22"/>
        <v>0</v>
      </c>
    </row>
    <row r="317" spans="1:4">
      <c r="A317" s="310" t="s">
        <v>529</v>
      </c>
      <c r="B317" s="325">
        <v>0</v>
      </c>
      <c r="C317" s="325">
        <f t="shared" si="22"/>
        <v>0</v>
      </c>
      <c r="D317" s="325">
        <f t="shared" si="22"/>
        <v>0</v>
      </c>
    </row>
    <row r="318" spans="1:4">
      <c r="A318" s="310" t="s">
        <v>444</v>
      </c>
      <c r="B318" s="326">
        <v>0</v>
      </c>
      <c r="C318" s="325">
        <f t="shared" si="22"/>
        <v>0</v>
      </c>
      <c r="D318" s="325">
        <f t="shared" si="22"/>
        <v>0</v>
      </c>
    </row>
    <row r="319" spans="1:4">
      <c r="A319" s="310" t="s">
        <v>445</v>
      </c>
      <c r="B319" s="326">
        <v>0</v>
      </c>
      <c r="C319" s="325">
        <f t="shared" si="22"/>
        <v>0</v>
      </c>
      <c r="D319" s="325">
        <f t="shared" si="22"/>
        <v>0</v>
      </c>
    </row>
    <row r="320" spans="1:4">
      <c r="A320" s="310" t="s">
        <v>446</v>
      </c>
      <c r="B320" s="326">
        <v>783000</v>
      </c>
      <c r="C320" s="325">
        <f t="shared" si="22"/>
        <v>822150</v>
      </c>
      <c r="D320" s="325">
        <f t="shared" si="22"/>
        <v>863257.5</v>
      </c>
    </row>
    <row r="321" spans="1:4">
      <c r="A321" s="310" t="s">
        <v>447</v>
      </c>
      <c r="B321" s="326">
        <v>980000</v>
      </c>
      <c r="C321" s="325">
        <f t="shared" si="22"/>
        <v>1029000</v>
      </c>
      <c r="D321" s="325">
        <f t="shared" si="22"/>
        <v>1080450</v>
      </c>
    </row>
    <row r="322" spans="1:4">
      <c r="A322" s="300" t="s">
        <v>200</v>
      </c>
      <c r="B322" s="335">
        <f>B323+B324</f>
        <v>2341860</v>
      </c>
      <c r="C322" s="335">
        <f t="shared" si="22"/>
        <v>2458953</v>
      </c>
      <c r="D322" s="335">
        <f t="shared" si="22"/>
        <v>2581900.65</v>
      </c>
    </row>
    <row r="323" spans="1:4" ht="31">
      <c r="A323" s="310" t="s">
        <v>201</v>
      </c>
      <c r="B323" s="326">
        <v>677400</v>
      </c>
      <c r="C323" s="325">
        <f t="shared" si="22"/>
        <v>711270</v>
      </c>
      <c r="D323" s="325">
        <f t="shared" si="22"/>
        <v>746833.5</v>
      </c>
    </row>
    <row r="324" spans="1:4" ht="31">
      <c r="A324" s="310" t="s">
        <v>202</v>
      </c>
      <c r="B324" s="326">
        <v>1664460</v>
      </c>
      <c r="C324" s="325">
        <f t="shared" si="22"/>
        <v>1747683</v>
      </c>
      <c r="D324" s="325">
        <f t="shared" si="22"/>
        <v>1835067.1500000001</v>
      </c>
    </row>
    <row r="325" spans="1:4">
      <c r="A325" s="300" t="s">
        <v>448</v>
      </c>
      <c r="B325" s="335">
        <f>B326+B327</f>
        <v>697500</v>
      </c>
      <c r="C325" s="335">
        <f t="shared" ref="C325:D344" si="23">B325*1.05</f>
        <v>732375</v>
      </c>
      <c r="D325" s="335">
        <f t="shared" si="23"/>
        <v>768993.75</v>
      </c>
    </row>
    <row r="326" spans="1:4">
      <c r="A326" s="310" t="s">
        <v>262</v>
      </c>
      <c r="B326" s="326">
        <v>697500</v>
      </c>
      <c r="C326" s="325">
        <f t="shared" si="23"/>
        <v>732375</v>
      </c>
      <c r="D326" s="325">
        <f t="shared" si="23"/>
        <v>768993.75</v>
      </c>
    </row>
    <row r="327" spans="1:4">
      <c r="A327" s="310" t="s">
        <v>450</v>
      </c>
      <c r="B327" s="325">
        <v>0</v>
      </c>
      <c r="C327" s="325">
        <f t="shared" si="23"/>
        <v>0</v>
      </c>
      <c r="D327" s="325">
        <f t="shared" si="23"/>
        <v>0</v>
      </c>
    </row>
    <row r="328" spans="1:4">
      <c r="A328" s="300" t="s">
        <v>290</v>
      </c>
      <c r="B328" s="335">
        <f>B329+B330+B331+B332+B333+B334+B335</f>
        <v>544829</v>
      </c>
      <c r="C328" s="335">
        <f t="shared" si="23"/>
        <v>572070.45000000007</v>
      </c>
      <c r="D328" s="335">
        <f t="shared" si="23"/>
        <v>600673.97250000015</v>
      </c>
    </row>
    <row r="329" spans="1:4">
      <c r="A329" s="310" t="s">
        <v>451</v>
      </c>
      <c r="B329" s="326">
        <v>544829</v>
      </c>
      <c r="C329" s="325">
        <f t="shared" si="23"/>
        <v>572070.45000000007</v>
      </c>
      <c r="D329" s="325">
        <f t="shared" si="23"/>
        <v>600673.97250000015</v>
      </c>
    </row>
    <row r="330" spans="1:4" ht="31">
      <c r="A330" s="310" t="s">
        <v>452</v>
      </c>
      <c r="B330" s="326">
        <v>0</v>
      </c>
      <c r="C330" s="325">
        <f t="shared" si="23"/>
        <v>0</v>
      </c>
      <c r="D330" s="325">
        <f t="shared" si="23"/>
        <v>0</v>
      </c>
    </row>
    <row r="331" spans="1:4" ht="31">
      <c r="A331" s="310" t="s">
        <v>453</v>
      </c>
      <c r="B331" s="326">
        <v>0</v>
      </c>
      <c r="C331" s="325">
        <f t="shared" si="23"/>
        <v>0</v>
      </c>
      <c r="D331" s="325">
        <f t="shared" si="23"/>
        <v>0</v>
      </c>
    </row>
    <row r="332" spans="1:4">
      <c r="A332" s="310" t="s">
        <v>454</v>
      </c>
      <c r="B332" s="326">
        <v>0</v>
      </c>
      <c r="C332" s="325">
        <f t="shared" si="23"/>
        <v>0</v>
      </c>
      <c r="D332" s="325">
        <f t="shared" si="23"/>
        <v>0</v>
      </c>
    </row>
    <row r="333" spans="1:4" ht="31">
      <c r="A333" s="310" t="s">
        <v>291</v>
      </c>
      <c r="B333" s="326">
        <v>0</v>
      </c>
      <c r="C333" s="325">
        <f t="shared" si="23"/>
        <v>0</v>
      </c>
      <c r="D333" s="325">
        <f t="shared" si="23"/>
        <v>0</v>
      </c>
    </row>
    <row r="334" spans="1:4">
      <c r="A334" s="310" t="s">
        <v>455</v>
      </c>
      <c r="B334" s="326">
        <v>0</v>
      </c>
      <c r="C334" s="325">
        <f t="shared" si="23"/>
        <v>0</v>
      </c>
      <c r="D334" s="325">
        <f t="shared" si="23"/>
        <v>0</v>
      </c>
    </row>
    <row r="335" spans="1:4">
      <c r="A335" s="310" t="s">
        <v>456</v>
      </c>
      <c r="B335" s="326">
        <v>0</v>
      </c>
      <c r="C335" s="325">
        <f t="shared" si="23"/>
        <v>0</v>
      </c>
      <c r="D335" s="325">
        <f t="shared" si="23"/>
        <v>0</v>
      </c>
    </row>
    <row r="336" spans="1:4" ht="31">
      <c r="A336" s="300" t="s">
        <v>205</v>
      </c>
      <c r="B336" s="335">
        <f>B337+B338+B339</f>
        <v>735125</v>
      </c>
      <c r="C336" s="335">
        <f t="shared" si="23"/>
        <v>771881.25</v>
      </c>
      <c r="D336" s="335">
        <f t="shared" si="23"/>
        <v>810475.3125</v>
      </c>
    </row>
    <row r="337" spans="1:4" ht="31">
      <c r="A337" s="310" t="s">
        <v>333</v>
      </c>
      <c r="B337" s="326">
        <v>494825</v>
      </c>
      <c r="C337" s="325">
        <f t="shared" si="23"/>
        <v>519566.25</v>
      </c>
      <c r="D337" s="325">
        <f t="shared" si="23"/>
        <v>545544.5625</v>
      </c>
    </row>
    <row r="338" spans="1:4" ht="31">
      <c r="A338" s="310" t="s">
        <v>263</v>
      </c>
      <c r="B338" s="326">
        <v>140000</v>
      </c>
      <c r="C338" s="325">
        <f t="shared" si="23"/>
        <v>147000</v>
      </c>
      <c r="D338" s="325">
        <f t="shared" si="23"/>
        <v>154350</v>
      </c>
    </row>
    <row r="339" spans="1:4" ht="31">
      <c r="A339" s="310" t="s">
        <v>207</v>
      </c>
      <c r="B339" s="326">
        <v>100300</v>
      </c>
      <c r="C339" s="325">
        <f t="shared" si="23"/>
        <v>105315</v>
      </c>
      <c r="D339" s="325">
        <f t="shared" si="23"/>
        <v>110580.75</v>
      </c>
    </row>
    <row r="340" spans="1:4">
      <c r="A340" s="300" t="s">
        <v>208</v>
      </c>
      <c r="B340" s="335">
        <f>B341</f>
        <v>960000</v>
      </c>
      <c r="C340" s="335">
        <f t="shared" si="23"/>
        <v>1008000</v>
      </c>
      <c r="D340" s="335">
        <f t="shared" si="23"/>
        <v>1058400</v>
      </c>
    </row>
    <row r="341" spans="1:4">
      <c r="A341" s="310" t="s">
        <v>457</v>
      </c>
      <c r="B341" s="326">
        <v>960000</v>
      </c>
      <c r="C341" s="325">
        <f t="shared" si="23"/>
        <v>1008000</v>
      </c>
      <c r="D341" s="325">
        <f t="shared" si="23"/>
        <v>1058400</v>
      </c>
    </row>
    <row r="342" spans="1:4">
      <c r="A342" s="300" t="s">
        <v>210</v>
      </c>
      <c r="B342" s="335">
        <f>B343+B344+B345+B346+B347</f>
        <v>98100</v>
      </c>
      <c r="C342" s="335">
        <f t="shared" si="23"/>
        <v>103005</v>
      </c>
      <c r="D342" s="335">
        <f t="shared" si="23"/>
        <v>108155.25</v>
      </c>
    </row>
    <row r="343" spans="1:4">
      <c r="A343" s="310" t="s">
        <v>458</v>
      </c>
      <c r="B343" s="325">
        <v>0</v>
      </c>
      <c r="C343" s="325">
        <f t="shared" si="23"/>
        <v>0</v>
      </c>
      <c r="D343" s="325">
        <f t="shared" si="23"/>
        <v>0</v>
      </c>
    </row>
    <row r="344" spans="1:4" ht="31">
      <c r="A344" s="310" t="s">
        <v>211</v>
      </c>
      <c r="B344" s="326">
        <v>98100</v>
      </c>
      <c r="C344" s="325">
        <f t="shared" si="23"/>
        <v>103005</v>
      </c>
      <c r="D344" s="325">
        <f t="shared" si="23"/>
        <v>108155.25</v>
      </c>
    </row>
    <row r="345" spans="1:4" ht="31">
      <c r="A345" s="310" t="s">
        <v>460</v>
      </c>
      <c r="B345" s="326">
        <v>0</v>
      </c>
      <c r="C345" s="325">
        <f t="shared" ref="C345:D363" si="24">B345*1.05</f>
        <v>0</v>
      </c>
      <c r="D345" s="325">
        <f t="shared" si="24"/>
        <v>0</v>
      </c>
    </row>
    <row r="346" spans="1:4" ht="31">
      <c r="A346" s="310" t="s">
        <v>461</v>
      </c>
      <c r="B346" s="326">
        <v>0</v>
      </c>
      <c r="C346" s="325">
        <f t="shared" si="24"/>
        <v>0</v>
      </c>
      <c r="D346" s="325">
        <f t="shared" si="24"/>
        <v>0</v>
      </c>
    </row>
    <row r="347" spans="1:4">
      <c r="A347" s="310" t="s">
        <v>462</v>
      </c>
      <c r="B347" s="326">
        <v>0</v>
      </c>
      <c r="C347" s="325">
        <f t="shared" si="24"/>
        <v>0</v>
      </c>
      <c r="D347" s="325">
        <f t="shared" si="24"/>
        <v>0</v>
      </c>
    </row>
    <row r="348" spans="1:4" ht="31">
      <c r="A348" s="300" t="s">
        <v>212</v>
      </c>
      <c r="B348" s="335">
        <f>B349</f>
        <v>840000</v>
      </c>
      <c r="C348" s="335">
        <f t="shared" si="24"/>
        <v>882000</v>
      </c>
      <c r="D348" s="335">
        <f t="shared" si="24"/>
        <v>926100</v>
      </c>
    </row>
    <row r="349" spans="1:4" ht="31">
      <c r="A349" s="310" t="s">
        <v>213</v>
      </c>
      <c r="B349" s="326">
        <v>840000</v>
      </c>
      <c r="C349" s="325">
        <f t="shared" si="24"/>
        <v>882000</v>
      </c>
      <c r="D349" s="325">
        <f t="shared" si="24"/>
        <v>926100</v>
      </c>
    </row>
    <row r="350" spans="1:4">
      <c r="A350" s="300" t="s">
        <v>267</v>
      </c>
      <c r="B350" s="335">
        <f>B351+B352+B353</f>
        <v>70000</v>
      </c>
      <c r="C350" s="335">
        <f t="shared" si="24"/>
        <v>73500</v>
      </c>
      <c r="D350" s="335">
        <f t="shared" si="24"/>
        <v>77175</v>
      </c>
    </row>
    <row r="351" spans="1:4" ht="31">
      <c r="A351" s="310" t="s">
        <v>337</v>
      </c>
      <c r="B351" s="325">
        <v>0</v>
      </c>
      <c r="C351" s="325">
        <f t="shared" si="24"/>
        <v>0</v>
      </c>
      <c r="D351" s="325">
        <f t="shared" si="24"/>
        <v>0</v>
      </c>
    </row>
    <row r="352" spans="1:4" ht="31">
      <c r="A352" s="310" t="s">
        <v>268</v>
      </c>
      <c r="B352" s="326">
        <v>0</v>
      </c>
      <c r="C352" s="325">
        <f t="shared" si="24"/>
        <v>0</v>
      </c>
      <c r="D352" s="325">
        <f t="shared" si="24"/>
        <v>0</v>
      </c>
    </row>
    <row r="353" spans="1:4" ht="31">
      <c r="A353" s="310" t="s">
        <v>269</v>
      </c>
      <c r="B353" s="326">
        <v>70000</v>
      </c>
      <c r="C353" s="325">
        <f t="shared" si="24"/>
        <v>73500</v>
      </c>
      <c r="D353" s="325">
        <f t="shared" si="24"/>
        <v>77175</v>
      </c>
    </row>
    <row r="354" spans="1:4" ht="31">
      <c r="A354" s="300" t="s">
        <v>466</v>
      </c>
      <c r="B354" s="335">
        <f>B355+B356</f>
        <v>0</v>
      </c>
      <c r="C354" s="335">
        <f t="shared" si="24"/>
        <v>0</v>
      </c>
      <c r="D354" s="335">
        <f t="shared" si="24"/>
        <v>0</v>
      </c>
    </row>
    <row r="355" spans="1:4">
      <c r="A355" s="310" t="s">
        <v>467</v>
      </c>
      <c r="B355" s="325">
        <v>0</v>
      </c>
      <c r="C355" s="325">
        <f t="shared" si="24"/>
        <v>0</v>
      </c>
      <c r="D355" s="325">
        <f t="shared" si="24"/>
        <v>0</v>
      </c>
    </row>
    <row r="356" spans="1:4">
      <c r="A356" s="310" t="s">
        <v>468</v>
      </c>
      <c r="B356" s="325"/>
      <c r="C356" s="325">
        <f t="shared" si="24"/>
        <v>0</v>
      </c>
      <c r="D356" s="325">
        <f t="shared" si="24"/>
        <v>0</v>
      </c>
    </row>
    <row r="357" spans="1:4" ht="31">
      <c r="A357" s="300" t="s">
        <v>469</v>
      </c>
      <c r="B357" s="335">
        <f>B358</f>
        <v>0</v>
      </c>
      <c r="C357" s="335">
        <f t="shared" si="24"/>
        <v>0</v>
      </c>
      <c r="D357" s="335">
        <f t="shared" si="24"/>
        <v>0</v>
      </c>
    </row>
    <row r="358" spans="1:4" ht="31">
      <c r="A358" s="333" t="s">
        <v>470</v>
      </c>
      <c r="B358" s="325"/>
      <c r="C358" s="325">
        <f t="shared" si="24"/>
        <v>0</v>
      </c>
      <c r="D358" s="325">
        <f t="shared" si="24"/>
        <v>0</v>
      </c>
    </row>
    <row r="359" spans="1:4" ht="31">
      <c r="A359" s="300" t="s">
        <v>270</v>
      </c>
      <c r="B359" s="335">
        <f>B360+B361</f>
        <v>750000</v>
      </c>
      <c r="C359" s="335">
        <f t="shared" si="24"/>
        <v>787500</v>
      </c>
      <c r="D359" s="335">
        <f t="shared" si="24"/>
        <v>826875</v>
      </c>
    </row>
    <row r="360" spans="1:4" ht="31">
      <c r="A360" s="310" t="s">
        <v>281</v>
      </c>
      <c r="B360" s="325">
        <v>0</v>
      </c>
      <c r="C360" s="325">
        <f t="shared" si="24"/>
        <v>0</v>
      </c>
      <c r="D360" s="325">
        <f t="shared" si="24"/>
        <v>0</v>
      </c>
    </row>
    <row r="361" spans="1:4" ht="31">
      <c r="A361" s="310" t="s">
        <v>272</v>
      </c>
      <c r="B361" s="326">
        <v>750000</v>
      </c>
      <c r="C361" s="325">
        <f t="shared" si="24"/>
        <v>787500</v>
      </c>
      <c r="D361" s="325">
        <f t="shared" si="24"/>
        <v>826875</v>
      </c>
    </row>
    <row r="362" spans="1:4" ht="31">
      <c r="A362" s="300" t="s">
        <v>471</v>
      </c>
      <c r="B362" s="324">
        <f>B363</f>
        <v>0</v>
      </c>
      <c r="C362" s="324">
        <f t="shared" si="24"/>
        <v>0</v>
      </c>
      <c r="D362" s="324">
        <f t="shared" si="24"/>
        <v>0</v>
      </c>
    </row>
    <row r="363" spans="1:4" ht="31">
      <c r="A363" s="310" t="s">
        <v>472</v>
      </c>
      <c r="B363" s="326"/>
      <c r="C363" s="325">
        <f t="shared" si="24"/>
        <v>0</v>
      </c>
      <c r="D363" s="325">
        <f t="shared" si="24"/>
        <v>0</v>
      </c>
    </row>
    <row r="364" spans="1:4">
      <c r="A364" s="300" t="s">
        <v>530</v>
      </c>
      <c r="B364" s="335">
        <f>B362+B359+B354+B350+B348+B342+B340+B336+B328+B325+B322+B313+B305+B301+B296+B292+B289+B287+B285</f>
        <v>17942249</v>
      </c>
      <c r="C364" s="335">
        <f>C362+C359+C354+C350+C348+C342+C340+C336+C328+C325+C322+C313+C305+C301+C296+C292+C289+C287+C285</f>
        <v>18839361.449999999</v>
      </c>
      <c r="D364" s="335">
        <f>D362+D359+D354+D350+D348+D342+D340+D336+D328+D325+D322+D313+D305+D301+D296+D292+D289+D287+D285</f>
        <v>19781329.522500001</v>
      </c>
    </row>
    <row r="365" spans="1:4">
      <c r="A365" s="300" t="s">
        <v>522</v>
      </c>
      <c r="B365" s="325"/>
      <c r="C365" s="325">
        <f t="shared" ref="C365:D384" si="25">B365*1.05</f>
        <v>0</v>
      </c>
      <c r="D365" s="325">
        <f t="shared" si="25"/>
        <v>0</v>
      </c>
    </row>
    <row r="366" spans="1:4">
      <c r="A366" s="310" t="s">
        <v>531</v>
      </c>
      <c r="B366" s="325"/>
      <c r="C366" s="325">
        <f t="shared" si="25"/>
        <v>0</v>
      </c>
      <c r="D366" s="325">
        <f t="shared" si="25"/>
        <v>0</v>
      </c>
    </row>
    <row r="367" spans="1:4">
      <c r="A367" s="310" t="s">
        <v>532</v>
      </c>
      <c r="B367" s="325"/>
      <c r="C367" s="325">
        <f t="shared" si="25"/>
        <v>0</v>
      </c>
      <c r="D367" s="325">
        <f t="shared" si="25"/>
        <v>0</v>
      </c>
    </row>
    <row r="368" spans="1:4">
      <c r="A368" s="300" t="s">
        <v>524</v>
      </c>
      <c r="B368" s="324"/>
      <c r="C368" s="324">
        <f t="shared" si="25"/>
        <v>0</v>
      </c>
      <c r="D368" s="324">
        <f t="shared" si="25"/>
        <v>0</v>
      </c>
    </row>
    <row r="369" spans="1:5">
      <c r="A369" s="300" t="s">
        <v>525</v>
      </c>
      <c r="B369" s="335">
        <f>B364-B368</f>
        <v>17942249</v>
      </c>
      <c r="C369" s="335">
        <f t="shared" si="25"/>
        <v>18839361.449999999</v>
      </c>
      <c r="D369" s="335">
        <f t="shared" si="25"/>
        <v>19781329.522500001</v>
      </c>
    </row>
    <row r="370" spans="1:5">
      <c r="A370" s="300" t="s">
        <v>106</v>
      </c>
      <c r="B370" s="325"/>
      <c r="C370" s="325">
        <f t="shared" si="25"/>
        <v>0</v>
      </c>
      <c r="D370" s="325">
        <f t="shared" si="25"/>
        <v>0</v>
      </c>
    </row>
    <row r="371" spans="1:5">
      <c r="A371" s="300" t="s">
        <v>474</v>
      </c>
      <c r="B371" s="325"/>
      <c r="C371" s="325">
        <f t="shared" si="25"/>
        <v>0</v>
      </c>
      <c r="D371" s="325">
        <f t="shared" si="25"/>
        <v>0</v>
      </c>
    </row>
    <row r="372" spans="1:5">
      <c r="A372" s="328" t="s">
        <v>456</v>
      </c>
      <c r="B372" s="325">
        <v>0</v>
      </c>
      <c r="C372" s="325">
        <f t="shared" si="25"/>
        <v>0</v>
      </c>
      <c r="D372" s="325">
        <f t="shared" si="25"/>
        <v>0</v>
      </c>
      <c r="E372" s="432">
        <v>2500000</v>
      </c>
    </row>
    <row r="373" spans="1:5">
      <c r="A373" s="328" t="s">
        <v>451</v>
      </c>
      <c r="B373" s="325">
        <v>0</v>
      </c>
      <c r="C373" s="325">
        <f t="shared" si="25"/>
        <v>0</v>
      </c>
      <c r="D373" s="325">
        <f t="shared" si="25"/>
        <v>0</v>
      </c>
      <c r="E373" s="432">
        <v>3500000</v>
      </c>
    </row>
    <row r="374" spans="1:5">
      <c r="A374" s="328" t="s">
        <v>224</v>
      </c>
      <c r="B374" s="325">
        <f>-3000000-5000000+8500000</f>
        <v>500000</v>
      </c>
      <c r="C374" s="325">
        <f t="shared" si="25"/>
        <v>525000</v>
      </c>
      <c r="D374" s="325">
        <f t="shared" si="25"/>
        <v>551250</v>
      </c>
      <c r="E374" s="432">
        <v>8000000</v>
      </c>
    </row>
    <row r="375" spans="1:5">
      <c r="A375" s="328" t="s">
        <v>533</v>
      </c>
      <c r="B375" s="325">
        <f>2844491+1269704</f>
        <v>4114195</v>
      </c>
      <c r="C375" s="325">
        <f t="shared" si="25"/>
        <v>4319904.75</v>
      </c>
      <c r="D375" s="325">
        <f t="shared" si="25"/>
        <v>4535899.9874999998</v>
      </c>
    </row>
    <row r="376" spans="1:5">
      <c r="A376" s="328" t="s">
        <v>534</v>
      </c>
      <c r="B376" s="325">
        <f>'Ward based rojects'!F10</f>
        <v>117023193.85480027</v>
      </c>
      <c r="C376" s="325">
        <f t="shared" si="25"/>
        <v>122874353.54754029</v>
      </c>
      <c r="D376" s="325">
        <f t="shared" si="25"/>
        <v>129018071.22491731</v>
      </c>
    </row>
    <row r="377" spans="1:5" ht="31">
      <c r="A377" s="310" t="s">
        <v>535</v>
      </c>
      <c r="B377" s="325">
        <v>33500000</v>
      </c>
      <c r="C377" s="325">
        <f t="shared" si="25"/>
        <v>35175000</v>
      </c>
      <c r="D377" s="325">
        <f t="shared" si="25"/>
        <v>36933750</v>
      </c>
    </row>
    <row r="378" spans="1:5">
      <c r="A378" s="300" t="s">
        <v>484</v>
      </c>
      <c r="B378" s="335">
        <f>SUM(B372:B377)</f>
        <v>155137388.85480028</v>
      </c>
      <c r="C378" s="335">
        <f t="shared" si="25"/>
        <v>162894258.29754031</v>
      </c>
      <c r="D378" s="335">
        <f t="shared" si="25"/>
        <v>171038971.21241733</v>
      </c>
    </row>
    <row r="379" spans="1:5">
      <c r="A379" s="300" t="s">
        <v>485</v>
      </c>
      <c r="B379" s="335">
        <f>B364</f>
        <v>17942249</v>
      </c>
      <c r="C379" s="335">
        <f t="shared" si="25"/>
        <v>18839361.449999999</v>
      </c>
      <c r="D379" s="335">
        <f t="shared" si="25"/>
        <v>19781329.522500001</v>
      </c>
    </row>
    <row r="380" spans="1:5">
      <c r="A380" s="300" t="s">
        <v>486</v>
      </c>
      <c r="B380" s="335">
        <f>B379+B378</f>
        <v>173079637.85480028</v>
      </c>
      <c r="C380" s="335">
        <f t="shared" si="25"/>
        <v>181733619.7475403</v>
      </c>
      <c r="D380" s="335">
        <f t="shared" si="25"/>
        <v>190820300.73491731</v>
      </c>
    </row>
    <row r="381" spans="1:5">
      <c r="A381" s="300" t="s">
        <v>536</v>
      </c>
      <c r="B381" s="325"/>
      <c r="C381" s="325">
        <f t="shared" si="25"/>
        <v>0</v>
      </c>
      <c r="D381" s="325">
        <f t="shared" si="25"/>
        <v>0</v>
      </c>
    </row>
    <row r="382" spans="1:5" ht="62">
      <c r="A382" s="298" t="s">
        <v>537</v>
      </c>
      <c r="B382" s="326">
        <v>0</v>
      </c>
      <c r="C382" s="325">
        <f t="shared" si="25"/>
        <v>0</v>
      </c>
      <c r="D382" s="325">
        <f t="shared" si="25"/>
        <v>0</v>
      </c>
    </row>
    <row r="383" spans="1:5">
      <c r="A383" s="300" t="s">
        <v>538</v>
      </c>
      <c r="B383" s="335">
        <f>B382</f>
        <v>0</v>
      </c>
      <c r="C383" s="335">
        <f t="shared" si="25"/>
        <v>0</v>
      </c>
      <c r="D383" s="335">
        <f t="shared" si="25"/>
        <v>0</v>
      </c>
    </row>
    <row r="384" spans="1:5">
      <c r="A384" s="300" t="s">
        <v>539</v>
      </c>
      <c r="B384" s="324"/>
      <c r="C384" s="324">
        <f t="shared" si="25"/>
        <v>0</v>
      </c>
      <c r="D384" s="324">
        <f t="shared" si="25"/>
        <v>0</v>
      </c>
    </row>
    <row r="385" spans="1:4">
      <c r="A385" s="300" t="s">
        <v>189</v>
      </c>
      <c r="B385" s="335">
        <f>B386+B387</f>
        <v>121800</v>
      </c>
      <c r="C385" s="335">
        <f t="shared" ref="C385:D404" si="26">B385*1.05</f>
        <v>127890</v>
      </c>
      <c r="D385" s="335">
        <f t="shared" si="26"/>
        <v>134284.5</v>
      </c>
    </row>
    <row r="386" spans="1:4">
      <c r="A386" s="310" t="s">
        <v>431</v>
      </c>
      <c r="B386" s="326">
        <v>76800</v>
      </c>
      <c r="C386" s="325">
        <f t="shared" si="26"/>
        <v>80640</v>
      </c>
      <c r="D386" s="325">
        <f t="shared" si="26"/>
        <v>84672</v>
      </c>
    </row>
    <row r="387" spans="1:4">
      <c r="A387" s="310" t="s">
        <v>432</v>
      </c>
      <c r="B387" s="326">
        <v>45000</v>
      </c>
      <c r="C387" s="325">
        <f t="shared" si="26"/>
        <v>47250</v>
      </c>
      <c r="D387" s="325">
        <f t="shared" si="26"/>
        <v>49612.5</v>
      </c>
    </row>
    <row r="388" spans="1:4" ht="31">
      <c r="A388" s="300" t="s">
        <v>324</v>
      </c>
      <c r="B388" s="335">
        <f>B389</f>
        <v>0</v>
      </c>
      <c r="C388" s="335">
        <f t="shared" si="26"/>
        <v>0</v>
      </c>
      <c r="D388" s="335">
        <f t="shared" si="26"/>
        <v>0</v>
      </c>
    </row>
    <row r="389" spans="1:4">
      <c r="A389" s="327" t="s">
        <v>433</v>
      </c>
      <c r="B389" s="326">
        <v>0</v>
      </c>
      <c r="C389" s="325">
        <f t="shared" si="26"/>
        <v>0</v>
      </c>
      <c r="D389" s="325">
        <f t="shared" si="26"/>
        <v>0</v>
      </c>
    </row>
    <row r="390" spans="1:4" ht="31">
      <c r="A390" s="300" t="s">
        <v>191</v>
      </c>
      <c r="B390" s="335">
        <f>B391+B392+B393</f>
        <v>100000</v>
      </c>
      <c r="C390" s="335">
        <f t="shared" si="26"/>
        <v>105000</v>
      </c>
      <c r="D390" s="335">
        <f t="shared" si="26"/>
        <v>110250</v>
      </c>
    </row>
    <row r="391" spans="1:4">
      <c r="A391" s="310" t="s">
        <v>435</v>
      </c>
      <c r="B391" s="326">
        <v>0</v>
      </c>
      <c r="C391" s="325">
        <f t="shared" si="26"/>
        <v>0</v>
      </c>
      <c r="D391" s="325">
        <f t="shared" si="26"/>
        <v>0</v>
      </c>
    </row>
    <row r="392" spans="1:4" ht="31">
      <c r="A392" s="310" t="s">
        <v>437</v>
      </c>
      <c r="B392" s="326">
        <v>0</v>
      </c>
      <c r="C392" s="325">
        <f t="shared" si="26"/>
        <v>0</v>
      </c>
      <c r="D392" s="325">
        <f t="shared" si="26"/>
        <v>0</v>
      </c>
    </row>
    <row r="393" spans="1:4">
      <c r="A393" s="298" t="s">
        <v>438</v>
      </c>
      <c r="B393" s="326">
        <v>100000</v>
      </c>
      <c r="C393" s="325">
        <f t="shared" si="26"/>
        <v>105000</v>
      </c>
      <c r="D393" s="325">
        <f t="shared" si="26"/>
        <v>110250</v>
      </c>
    </row>
    <row r="394" spans="1:4">
      <c r="A394" s="300" t="s">
        <v>208</v>
      </c>
      <c r="B394" s="326">
        <f>B395</f>
        <v>200000</v>
      </c>
      <c r="C394" s="335">
        <f t="shared" si="26"/>
        <v>210000</v>
      </c>
      <c r="D394" s="335">
        <f t="shared" si="26"/>
        <v>220500</v>
      </c>
    </row>
    <row r="395" spans="1:4">
      <c r="A395" s="310" t="s">
        <v>457</v>
      </c>
      <c r="B395" s="326">
        <v>200000</v>
      </c>
      <c r="C395" s="325">
        <f t="shared" si="26"/>
        <v>210000</v>
      </c>
      <c r="D395" s="325">
        <f t="shared" si="26"/>
        <v>220500</v>
      </c>
    </row>
    <row r="396" spans="1:4">
      <c r="A396" s="300" t="s">
        <v>210</v>
      </c>
      <c r="B396" s="335">
        <f>B397+B398</f>
        <v>300000</v>
      </c>
      <c r="C396" s="335">
        <f t="shared" si="26"/>
        <v>315000</v>
      </c>
      <c r="D396" s="335">
        <f t="shared" si="26"/>
        <v>330750</v>
      </c>
    </row>
    <row r="397" spans="1:4" ht="31">
      <c r="A397" s="328" t="s">
        <v>540</v>
      </c>
      <c r="B397" s="325">
        <v>150000</v>
      </c>
      <c r="C397" s="325">
        <f t="shared" si="26"/>
        <v>157500</v>
      </c>
      <c r="D397" s="325">
        <f t="shared" si="26"/>
        <v>165375</v>
      </c>
    </row>
    <row r="398" spans="1:4">
      <c r="A398" s="328" t="s">
        <v>456</v>
      </c>
      <c r="B398" s="326">
        <v>150000</v>
      </c>
      <c r="C398" s="325">
        <f t="shared" si="26"/>
        <v>157500</v>
      </c>
      <c r="D398" s="325">
        <f t="shared" si="26"/>
        <v>165375</v>
      </c>
    </row>
    <row r="399" spans="1:4" ht="31">
      <c r="A399" s="300" t="s">
        <v>212</v>
      </c>
      <c r="B399" s="335">
        <f>B400</f>
        <v>150000</v>
      </c>
      <c r="C399" s="335">
        <f t="shared" si="26"/>
        <v>157500</v>
      </c>
      <c r="D399" s="335">
        <f t="shared" si="26"/>
        <v>165375</v>
      </c>
    </row>
    <row r="400" spans="1:4" ht="31">
      <c r="A400" s="310" t="s">
        <v>213</v>
      </c>
      <c r="B400" s="325">
        <v>150000</v>
      </c>
      <c r="C400" s="325">
        <f t="shared" si="26"/>
        <v>157500</v>
      </c>
      <c r="D400" s="325">
        <f t="shared" si="26"/>
        <v>165375</v>
      </c>
    </row>
    <row r="401" spans="1:4" ht="31">
      <c r="A401" s="300" t="s">
        <v>471</v>
      </c>
      <c r="B401" s="324">
        <f>B402</f>
        <v>0</v>
      </c>
      <c r="C401" s="324">
        <f t="shared" si="26"/>
        <v>0</v>
      </c>
      <c r="D401" s="324">
        <f t="shared" si="26"/>
        <v>0</v>
      </c>
    </row>
    <row r="402" spans="1:4" ht="31">
      <c r="A402" s="310" t="s">
        <v>472</v>
      </c>
      <c r="B402" s="326">
        <v>0</v>
      </c>
      <c r="C402" s="325">
        <f t="shared" si="26"/>
        <v>0</v>
      </c>
      <c r="D402" s="325">
        <f t="shared" si="26"/>
        <v>0</v>
      </c>
    </row>
    <row r="403" spans="1:4">
      <c r="A403" s="300" t="s">
        <v>541</v>
      </c>
      <c r="B403" s="335">
        <f>B402+B399+B396+B393+B390+B388+B385</f>
        <v>771800</v>
      </c>
      <c r="C403" s="335">
        <f t="shared" si="26"/>
        <v>810390</v>
      </c>
      <c r="D403" s="335">
        <f t="shared" si="26"/>
        <v>850909.5</v>
      </c>
    </row>
    <row r="404" spans="1:4">
      <c r="A404" s="300" t="s">
        <v>542</v>
      </c>
      <c r="B404" s="335">
        <f>B403+B379+I418</f>
        <v>18714049</v>
      </c>
      <c r="C404" s="335">
        <f t="shared" si="26"/>
        <v>19649751.449999999</v>
      </c>
      <c r="D404" s="335">
        <f t="shared" si="26"/>
        <v>20632239.022500001</v>
      </c>
    </row>
    <row r="405" spans="1:4">
      <c r="A405" s="300" t="s">
        <v>543</v>
      </c>
      <c r="B405" s="335">
        <f>B378</f>
        <v>155137388.85480028</v>
      </c>
      <c r="C405" s="335">
        <f t="shared" ref="C405:D406" si="27">B405*1.05</f>
        <v>162894258.29754031</v>
      </c>
      <c r="D405" s="335">
        <f t="shared" si="27"/>
        <v>171038971.21241733</v>
      </c>
    </row>
    <row r="406" spans="1:4">
      <c r="A406" s="300" t="s">
        <v>544</v>
      </c>
      <c r="B406" s="336">
        <f>B404+B405</f>
        <v>173851437.85480028</v>
      </c>
      <c r="C406" s="336">
        <f t="shared" si="27"/>
        <v>182544009.7475403</v>
      </c>
      <c r="D406" s="336">
        <f t="shared" si="27"/>
        <v>191671210.23491731</v>
      </c>
    </row>
    <row r="407" spans="1:4">
      <c r="A407" s="300" t="s">
        <v>500</v>
      </c>
      <c r="B407" s="324">
        <f>B404+B279+B88</f>
        <v>59567037</v>
      </c>
      <c r="C407" s="324">
        <f>B407*1.05</f>
        <v>62545388.850000001</v>
      </c>
      <c r="D407" s="324">
        <f>C407*1.05</f>
        <v>65672658.292500004</v>
      </c>
    </row>
    <row r="408" spans="1:4">
      <c r="A408" s="300" t="s">
        <v>501</v>
      </c>
      <c r="B408" s="324">
        <f>B405+B280+B161</f>
        <v>465187389.85480028</v>
      </c>
      <c r="C408" s="324">
        <f>B408*1.05</f>
        <v>488446759.34754032</v>
      </c>
      <c r="D408" s="324">
        <f>C408*1.05</f>
        <v>512869097.31491739</v>
      </c>
    </row>
    <row r="409" spans="1:4">
      <c r="A409" s="314" t="s">
        <v>545</v>
      </c>
      <c r="B409" s="337">
        <f>B408+B407</f>
        <v>524754426.85480028</v>
      </c>
      <c r="C409" s="337">
        <f>C408+C407</f>
        <v>550992148.19754028</v>
      </c>
      <c r="D409" s="337">
        <f>D408+D407</f>
        <v>578541755.60741735</v>
      </c>
    </row>
  </sheetData>
  <protectedRanges>
    <protectedRange password="C43E" sqref="B154" name="Range1_63_1_2_1_3_1"/>
  </protectedRanges>
  <autoFilter ref="A3:G409"/>
  <mergeCells count="1">
    <mergeCell ref="A1:D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opLeftCell="A38" zoomScale="120" zoomScaleNormal="120" workbookViewId="0">
      <selection activeCell="B67" sqref="B67"/>
    </sheetView>
  </sheetViews>
  <sheetFormatPr defaultColWidth="9.08984375" defaultRowHeight="14"/>
  <cols>
    <col min="1" max="1" width="42.54296875" style="224" customWidth="1"/>
    <col min="2" max="3" width="21.36328125" style="224" customWidth="1"/>
    <col min="4" max="4" width="19.26953125" style="224" customWidth="1"/>
    <col min="5" max="5" width="24.90625" style="224" customWidth="1"/>
    <col min="6" max="16384" width="9.08984375" style="224"/>
  </cols>
  <sheetData>
    <row r="1" spans="1:5" ht="15.5">
      <c r="A1" s="713"/>
      <c r="B1" s="713"/>
      <c r="C1" s="713"/>
      <c r="D1" s="714"/>
    </row>
    <row r="2" spans="1:5" ht="15.5">
      <c r="A2" s="715"/>
      <c r="B2" s="715"/>
      <c r="C2" s="715"/>
      <c r="D2" s="716"/>
    </row>
    <row r="3" spans="1:5" ht="42">
      <c r="A3" s="225" t="s">
        <v>160</v>
      </c>
      <c r="B3" s="226" t="s">
        <v>161</v>
      </c>
      <c r="C3" s="226" t="s">
        <v>162</v>
      </c>
      <c r="D3" s="226" t="s">
        <v>163</v>
      </c>
    </row>
    <row r="4" spans="1:5">
      <c r="A4" s="227" t="s">
        <v>80</v>
      </c>
      <c r="B4" s="228">
        <f t="shared" ref="B4" si="0">B5</f>
        <v>0</v>
      </c>
      <c r="C4" s="228">
        <f>B4*1.05</f>
        <v>0</v>
      </c>
      <c r="D4" s="228">
        <f>D5</f>
        <v>0</v>
      </c>
    </row>
    <row r="5" spans="1:5">
      <c r="A5" s="229" t="s">
        <v>81</v>
      </c>
      <c r="B5" s="230">
        <v>0</v>
      </c>
      <c r="C5" s="228">
        <f>B5*1.05</f>
        <v>0</v>
      </c>
      <c r="D5" s="230">
        <f t="shared" ref="D5:D36" si="1">1.05*C5</f>
        <v>0</v>
      </c>
    </row>
    <row r="6" spans="1:5">
      <c r="A6" s="231" t="s">
        <v>29</v>
      </c>
      <c r="B6" s="228">
        <f>B7+B8</f>
        <v>418800</v>
      </c>
      <c r="C6" s="228">
        <f t="shared" ref="C6:D6" si="2">C7+C8</f>
        <v>439740</v>
      </c>
      <c r="D6" s="228">
        <f t="shared" si="2"/>
        <v>461727</v>
      </c>
      <c r="E6" s="453"/>
    </row>
    <row r="7" spans="1:5">
      <c r="A7" s="229" t="s">
        <v>82</v>
      </c>
      <c r="B7" s="230">
        <v>320400</v>
      </c>
      <c r="C7" s="230">
        <f>1.05*B7</f>
        <v>336420</v>
      </c>
      <c r="D7" s="230">
        <f>1.05*C7</f>
        <v>353241</v>
      </c>
      <c r="E7" s="453"/>
    </row>
    <row r="8" spans="1:5">
      <c r="A8" s="229" t="s">
        <v>164</v>
      </c>
      <c r="B8" s="230">
        <v>98400</v>
      </c>
      <c r="C8" s="230">
        <f>1.05*B8</f>
        <v>103320</v>
      </c>
      <c r="D8" s="230">
        <f t="shared" si="1"/>
        <v>108486</v>
      </c>
      <c r="E8" s="453"/>
    </row>
    <row r="9" spans="1:5" ht="28">
      <c r="A9" s="231" t="s">
        <v>32</v>
      </c>
      <c r="B9" s="228">
        <f>B10+B11+B12</f>
        <v>330000.03999999998</v>
      </c>
      <c r="C9" s="228">
        <f>SUM(C10:C12)</f>
        <v>346500.04200000002</v>
      </c>
      <c r="D9" s="228">
        <f>SUM(D10:D12)</f>
        <v>363825.0441</v>
      </c>
      <c r="E9" s="453"/>
    </row>
    <row r="10" spans="1:5" ht="28">
      <c r="A10" s="229" t="s">
        <v>84</v>
      </c>
      <c r="B10" s="230">
        <v>180000</v>
      </c>
      <c r="C10" s="230">
        <f>1.05*B10</f>
        <v>189000</v>
      </c>
      <c r="D10" s="230">
        <f>1.05*C10</f>
        <v>198450</v>
      </c>
      <c r="E10" s="453"/>
    </row>
    <row r="11" spans="1:5">
      <c r="A11" s="229" t="s">
        <v>85</v>
      </c>
      <c r="B11" s="230">
        <v>150000.03999999998</v>
      </c>
      <c r="C11" s="230">
        <f>1.05*B11</f>
        <v>157500.04199999999</v>
      </c>
      <c r="D11" s="230">
        <f t="shared" si="1"/>
        <v>165375.0441</v>
      </c>
      <c r="E11" s="453"/>
    </row>
    <row r="12" spans="1:5">
      <c r="A12" s="229" t="s">
        <v>35</v>
      </c>
      <c r="B12" s="232">
        <v>0</v>
      </c>
      <c r="C12" s="230">
        <f>1.05*B12</f>
        <v>0</v>
      </c>
      <c r="D12" s="232">
        <f t="shared" si="1"/>
        <v>0</v>
      </c>
      <c r="E12" s="453"/>
    </row>
    <row r="13" spans="1:5" ht="28">
      <c r="A13" s="233" t="s">
        <v>36</v>
      </c>
      <c r="B13" s="228">
        <f t="shared" ref="B13" si="3">B14+B15+B16+B17+B18</f>
        <v>4178000</v>
      </c>
      <c r="C13" s="228">
        <f>SUM(C14:C18)</f>
        <v>4386900</v>
      </c>
      <c r="D13" s="228">
        <f>SUM(D14:D18)</f>
        <v>4606245</v>
      </c>
      <c r="E13" s="453">
        <f>B13/2</f>
        <v>2089000</v>
      </c>
    </row>
    <row r="14" spans="1:5" ht="28">
      <c r="A14" s="229" t="s">
        <v>1</v>
      </c>
      <c r="B14" s="230">
        <v>1040000</v>
      </c>
      <c r="C14" s="230">
        <f>1.05*B14</f>
        <v>1092000</v>
      </c>
      <c r="D14" s="230">
        <f t="shared" si="1"/>
        <v>1146600</v>
      </c>
      <c r="E14" s="453">
        <f t="shared" ref="E14:E28" si="4">B14/2</f>
        <v>520000</v>
      </c>
    </row>
    <row r="15" spans="1:5">
      <c r="A15" s="229" t="s">
        <v>87</v>
      </c>
      <c r="B15" s="230">
        <v>1248000</v>
      </c>
      <c r="C15" s="230">
        <f>1.05*B15</f>
        <v>1310400</v>
      </c>
      <c r="D15" s="230">
        <f t="shared" si="1"/>
        <v>1375920</v>
      </c>
      <c r="E15" s="453">
        <f t="shared" si="4"/>
        <v>624000</v>
      </c>
    </row>
    <row r="16" spans="1:5">
      <c r="A16" s="229" t="s">
        <v>88</v>
      </c>
      <c r="B16" s="230">
        <v>1890000</v>
      </c>
      <c r="C16" s="230">
        <f>1.05*B16</f>
        <v>1984500</v>
      </c>
      <c r="D16" s="230">
        <f t="shared" si="1"/>
        <v>2083725</v>
      </c>
      <c r="E16" s="453">
        <f t="shared" si="4"/>
        <v>945000</v>
      </c>
    </row>
    <row r="17" spans="1:5">
      <c r="A17" s="229" t="s">
        <v>39</v>
      </c>
      <c r="B17" s="230">
        <v>0</v>
      </c>
      <c r="C17" s="230">
        <f>1.05*B17</f>
        <v>0</v>
      </c>
      <c r="D17" s="230">
        <f t="shared" si="1"/>
        <v>0</v>
      </c>
      <c r="E17" s="453">
        <f t="shared" si="4"/>
        <v>0</v>
      </c>
    </row>
    <row r="18" spans="1:5">
      <c r="A18" s="229" t="s">
        <v>40</v>
      </c>
      <c r="B18" s="230">
        <v>0</v>
      </c>
      <c r="C18" s="230">
        <f>1.05*B18</f>
        <v>0</v>
      </c>
      <c r="D18" s="230">
        <f t="shared" si="1"/>
        <v>0</v>
      </c>
      <c r="E18" s="453">
        <f t="shared" si="4"/>
        <v>0</v>
      </c>
    </row>
    <row r="19" spans="1:5" ht="28">
      <c r="A19" s="234" t="s">
        <v>89</v>
      </c>
      <c r="B19" s="228">
        <f>B20+B21</f>
        <v>0</v>
      </c>
      <c r="C19" s="228">
        <f>SUM(C20:C21)</f>
        <v>0</v>
      </c>
      <c r="D19" s="228">
        <f>SUM(D20:D21)</f>
        <v>0</v>
      </c>
      <c r="E19" s="453">
        <f t="shared" si="4"/>
        <v>0</v>
      </c>
    </row>
    <row r="20" spans="1:5" ht="28">
      <c r="A20" s="235" t="s">
        <v>90</v>
      </c>
      <c r="B20" s="230">
        <v>0</v>
      </c>
      <c r="C20" s="230">
        <f>1.05*B20</f>
        <v>0</v>
      </c>
      <c r="D20" s="230">
        <f t="shared" si="1"/>
        <v>0</v>
      </c>
      <c r="E20" s="453">
        <f t="shared" si="4"/>
        <v>0</v>
      </c>
    </row>
    <row r="21" spans="1:5">
      <c r="A21" s="235" t="s">
        <v>41</v>
      </c>
      <c r="B21" s="230">
        <v>0</v>
      </c>
      <c r="C21" s="230">
        <f>1.05*B21</f>
        <v>0</v>
      </c>
      <c r="D21" s="230">
        <f t="shared" si="1"/>
        <v>0</v>
      </c>
      <c r="E21" s="453">
        <f t="shared" si="4"/>
        <v>0</v>
      </c>
    </row>
    <row r="22" spans="1:5" ht="28">
      <c r="A22" s="233" t="s">
        <v>42</v>
      </c>
      <c r="B22" s="228">
        <f>B23+B24</f>
        <v>450000</v>
      </c>
      <c r="C22" s="228">
        <f>SUM(C23:C24)</f>
        <v>472500</v>
      </c>
      <c r="D22" s="228">
        <f>SUM(D23:D24)</f>
        <v>496125</v>
      </c>
      <c r="E22" s="453">
        <f t="shared" si="4"/>
        <v>225000</v>
      </c>
    </row>
    <row r="23" spans="1:5" ht="28">
      <c r="A23" s="229" t="s">
        <v>165</v>
      </c>
      <c r="B23" s="230">
        <v>0</v>
      </c>
      <c r="C23" s="230">
        <f>1.05*B23</f>
        <v>0</v>
      </c>
      <c r="D23" s="230">
        <f t="shared" si="1"/>
        <v>0</v>
      </c>
      <c r="E23" s="453">
        <f t="shared" si="4"/>
        <v>0</v>
      </c>
    </row>
    <row r="24" spans="1:5" ht="28">
      <c r="A24" s="229" t="s">
        <v>45</v>
      </c>
      <c r="B24" s="230">
        <v>450000</v>
      </c>
      <c r="C24" s="230">
        <f>1.05*B24</f>
        <v>472500</v>
      </c>
      <c r="D24" s="230">
        <f t="shared" si="1"/>
        <v>496125</v>
      </c>
      <c r="E24" s="453">
        <f t="shared" si="4"/>
        <v>225000</v>
      </c>
    </row>
    <row r="25" spans="1:5">
      <c r="A25" s="233" t="s">
        <v>47</v>
      </c>
      <c r="B25" s="228">
        <f>B26+B27</f>
        <v>1098000</v>
      </c>
      <c r="C25" s="228">
        <f t="shared" ref="C25:D25" si="5">C26+C27</f>
        <v>1152900</v>
      </c>
      <c r="D25" s="228">
        <f t="shared" si="5"/>
        <v>1210545</v>
      </c>
      <c r="E25" s="453">
        <f t="shared" si="4"/>
        <v>549000</v>
      </c>
    </row>
    <row r="26" spans="1:5">
      <c r="A26" s="229" t="s">
        <v>93</v>
      </c>
      <c r="B26" s="230">
        <v>728000</v>
      </c>
      <c r="C26" s="230">
        <f>1.05*B26</f>
        <v>764400</v>
      </c>
      <c r="D26" s="230">
        <f t="shared" si="1"/>
        <v>802620</v>
      </c>
      <c r="E26" s="453">
        <f t="shared" si="4"/>
        <v>364000</v>
      </c>
    </row>
    <row r="27" spans="1:5">
      <c r="A27" s="229" t="s">
        <v>94</v>
      </c>
      <c r="B27" s="230">
        <v>370000</v>
      </c>
      <c r="C27" s="230">
        <f>1.05*B27</f>
        <v>388500</v>
      </c>
      <c r="D27" s="230">
        <f t="shared" si="1"/>
        <v>407925</v>
      </c>
      <c r="E27" s="453">
        <f t="shared" si="4"/>
        <v>185000</v>
      </c>
    </row>
    <row r="28" spans="1:5">
      <c r="A28" s="233" t="s">
        <v>49</v>
      </c>
      <c r="B28" s="228">
        <f>B29+B30</f>
        <v>13151377</v>
      </c>
      <c r="C28" s="228">
        <f>SUM(C29:C30)</f>
        <v>13808945.85</v>
      </c>
      <c r="D28" s="228">
        <f>SUM(D29:D30)</f>
        <v>14499393.1425</v>
      </c>
      <c r="E28" s="453">
        <f t="shared" si="4"/>
        <v>6575688.5</v>
      </c>
    </row>
    <row r="29" spans="1:5">
      <c r="A29" s="229" t="s">
        <v>166</v>
      </c>
      <c r="B29" s="230">
        <v>4708000</v>
      </c>
      <c r="C29" s="230">
        <f>1.05*B29</f>
        <v>4943400</v>
      </c>
      <c r="D29" s="230">
        <f t="shared" si="1"/>
        <v>5190570</v>
      </c>
      <c r="E29" s="453"/>
    </row>
    <row r="30" spans="1:5">
      <c r="A30" s="229" t="s">
        <v>96</v>
      </c>
      <c r="B30" s="230">
        <v>8443377</v>
      </c>
      <c r="C30" s="230">
        <f>1.05*B30</f>
        <v>8865545.8499999996</v>
      </c>
      <c r="D30" s="230">
        <f t="shared" si="1"/>
        <v>9308823.1425000001</v>
      </c>
      <c r="E30" s="453"/>
    </row>
    <row r="31" spans="1:5">
      <c r="A31" s="234" t="s">
        <v>97</v>
      </c>
      <c r="B31" s="228">
        <f>B32</f>
        <v>1525399</v>
      </c>
      <c r="C31" s="228">
        <f>SUM(C32)</f>
        <v>1601668.95</v>
      </c>
      <c r="D31" s="228">
        <f>SUM(D32)</f>
        <v>1681752.3975</v>
      </c>
      <c r="E31" s="453"/>
    </row>
    <row r="32" spans="1:5" ht="28">
      <c r="A32" s="229" t="s">
        <v>98</v>
      </c>
      <c r="B32" s="230">
        <v>1525399</v>
      </c>
      <c r="C32" s="230">
        <f>1.05*B32</f>
        <v>1601668.95</v>
      </c>
      <c r="D32" s="230">
        <f t="shared" si="1"/>
        <v>1681752.3975</v>
      </c>
      <c r="E32" s="453"/>
    </row>
    <row r="33" spans="1:5" ht="28">
      <c r="A33" s="233" t="s">
        <v>55</v>
      </c>
      <c r="B33" s="228">
        <f>SUM(B34:B36)</f>
        <v>600000</v>
      </c>
      <c r="C33" s="228">
        <f>SUM(C34:C35)</f>
        <v>315000</v>
      </c>
      <c r="D33" s="228">
        <f>SUM(D34:D35)</f>
        <v>330750</v>
      </c>
      <c r="E33" s="453"/>
    </row>
    <row r="34" spans="1:5">
      <c r="A34" s="229" t="s">
        <v>99</v>
      </c>
      <c r="B34" s="230">
        <v>300000</v>
      </c>
      <c r="C34" s="230">
        <f>1.05*B34</f>
        <v>315000</v>
      </c>
      <c r="D34" s="230">
        <f t="shared" si="1"/>
        <v>330750</v>
      </c>
      <c r="E34" s="453"/>
    </row>
    <row r="35" spans="1:5">
      <c r="A35" s="229" t="s">
        <v>101</v>
      </c>
      <c r="B35" s="230">
        <v>0</v>
      </c>
      <c r="C35" s="230">
        <f>1.05*B35</f>
        <v>0</v>
      </c>
      <c r="D35" s="230">
        <f t="shared" si="1"/>
        <v>0</v>
      </c>
      <c r="E35" s="453"/>
    </row>
    <row r="36" spans="1:5" ht="28">
      <c r="A36" s="229" t="s">
        <v>167</v>
      </c>
      <c r="B36" s="230">
        <v>300000</v>
      </c>
      <c r="C36" s="230">
        <f>1.05*B36</f>
        <v>315000</v>
      </c>
      <c r="D36" s="230">
        <f t="shared" si="1"/>
        <v>330750</v>
      </c>
      <c r="E36" s="453"/>
    </row>
    <row r="37" spans="1:5">
      <c r="A37" s="233" t="s">
        <v>58</v>
      </c>
      <c r="B37" s="228">
        <f>B38</f>
        <v>4548820</v>
      </c>
      <c r="C37" s="228">
        <f>C38</f>
        <v>4776261</v>
      </c>
      <c r="D37" s="228">
        <f>D38</f>
        <v>5015074.05</v>
      </c>
      <c r="E37" s="453"/>
    </row>
    <row r="38" spans="1:5" ht="28">
      <c r="A38" s="229" t="s">
        <v>102</v>
      </c>
      <c r="B38" s="230">
        <v>4548820</v>
      </c>
      <c r="C38" s="230">
        <f>1.05*B38</f>
        <v>4776261</v>
      </c>
      <c r="D38" s="230">
        <f t="shared" ref="D38:D70" si="6">1.05*C38</f>
        <v>5015074.05</v>
      </c>
      <c r="E38" s="453"/>
    </row>
    <row r="39" spans="1:5">
      <c r="A39" s="233" t="s">
        <v>60</v>
      </c>
      <c r="B39" s="228">
        <f>B40+B41+B42+B43</f>
        <v>130320</v>
      </c>
      <c r="C39" s="228">
        <f>SUM(C40:C43)</f>
        <v>136836</v>
      </c>
      <c r="D39" s="228">
        <f>SUM(D40:D43)</f>
        <v>143677.80000000002</v>
      </c>
      <c r="E39" s="453"/>
    </row>
    <row r="40" spans="1:5" ht="28">
      <c r="A40" s="229" t="s">
        <v>103</v>
      </c>
      <c r="B40" s="230">
        <v>0</v>
      </c>
      <c r="C40" s="230">
        <f>1.05*B40</f>
        <v>0</v>
      </c>
      <c r="D40" s="230">
        <f t="shared" si="6"/>
        <v>0</v>
      </c>
      <c r="E40" s="453"/>
    </row>
    <row r="41" spans="1:5">
      <c r="A41" s="229" t="s">
        <v>104</v>
      </c>
      <c r="B41" s="230">
        <v>130320</v>
      </c>
      <c r="C41" s="230">
        <f>1.05*B41</f>
        <v>136836</v>
      </c>
      <c r="D41" s="230">
        <f t="shared" si="6"/>
        <v>143677.80000000002</v>
      </c>
      <c r="E41" s="453"/>
    </row>
    <row r="42" spans="1:5" ht="28">
      <c r="A42" s="229" t="s">
        <v>105</v>
      </c>
      <c r="B42" s="230">
        <v>0</v>
      </c>
      <c r="C42" s="230">
        <f>1.05*B42</f>
        <v>0</v>
      </c>
      <c r="D42" s="230">
        <f t="shared" si="6"/>
        <v>0</v>
      </c>
      <c r="E42" s="453"/>
    </row>
    <row r="43" spans="1:5">
      <c r="A43" s="229" t="s">
        <v>168</v>
      </c>
      <c r="B43" s="230">
        <v>0</v>
      </c>
      <c r="C43" s="230">
        <f>1.05*B43</f>
        <v>0</v>
      </c>
      <c r="D43" s="230">
        <f t="shared" si="6"/>
        <v>0</v>
      </c>
      <c r="E43" s="453"/>
    </row>
    <row r="44" spans="1:5" ht="28">
      <c r="A44" s="233" t="s">
        <v>64</v>
      </c>
      <c r="B44" s="228">
        <f>B45</f>
        <v>4700000</v>
      </c>
      <c r="C44" s="228">
        <f t="shared" ref="C44:D44" si="7">C45</f>
        <v>4935000</v>
      </c>
      <c r="D44" s="228">
        <f t="shared" si="7"/>
        <v>5181750</v>
      </c>
      <c r="E44" s="453"/>
    </row>
    <row r="45" spans="1:5" ht="28">
      <c r="A45" s="229" t="s">
        <v>65</v>
      </c>
      <c r="B45" s="230">
        <v>4700000</v>
      </c>
      <c r="C45" s="230">
        <f>1.05*B45</f>
        <v>4935000</v>
      </c>
      <c r="D45" s="230">
        <f t="shared" si="6"/>
        <v>5181750</v>
      </c>
      <c r="E45" s="453"/>
    </row>
    <row r="46" spans="1:5">
      <c r="A46" s="234" t="s">
        <v>112</v>
      </c>
      <c r="B46" s="228">
        <f>B47+B48</f>
        <v>300000</v>
      </c>
      <c r="C46" s="228">
        <f>SUM(C47:C48)</f>
        <v>315000</v>
      </c>
      <c r="D46" s="228">
        <f>SUM(D47:D48)</f>
        <v>330750</v>
      </c>
      <c r="E46" s="453"/>
    </row>
    <row r="47" spans="1:5" ht="28">
      <c r="A47" s="229" t="s">
        <v>113</v>
      </c>
      <c r="B47" s="230">
        <v>0</v>
      </c>
      <c r="C47" s="230">
        <f>1.05*B47</f>
        <v>0</v>
      </c>
      <c r="D47" s="230">
        <f t="shared" si="6"/>
        <v>0</v>
      </c>
      <c r="E47" s="453"/>
    </row>
    <row r="48" spans="1:5" ht="28">
      <c r="A48" s="236" t="s">
        <v>67</v>
      </c>
      <c r="B48" s="230">
        <v>300000</v>
      </c>
      <c r="C48" s="230">
        <f>1.05*B48</f>
        <v>315000</v>
      </c>
      <c r="D48" s="237">
        <f t="shared" si="6"/>
        <v>330750</v>
      </c>
      <c r="E48" s="453"/>
    </row>
    <row r="49" spans="1:5" ht="28">
      <c r="A49" s="233" t="s">
        <v>115</v>
      </c>
      <c r="B49" s="228">
        <f>B50+B51</f>
        <v>600000</v>
      </c>
      <c r="C49" s="228">
        <f>C50+C51</f>
        <v>630000</v>
      </c>
      <c r="D49" s="228">
        <f>D50+D51</f>
        <v>661500</v>
      </c>
      <c r="E49" s="453"/>
    </row>
    <row r="50" spans="1:5" ht="28">
      <c r="A50" s="229" t="s">
        <v>69</v>
      </c>
      <c r="B50" s="230">
        <v>0</v>
      </c>
      <c r="C50" s="230">
        <f>1.05*B50</f>
        <v>0</v>
      </c>
      <c r="D50" s="230">
        <f t="shared" si="6"/>
        <v>0</v>
      </c>
      <c r="E50" s="453"/>
    </row>
    <row r="51" spans="1:5" ht="28">
      <c r="A51" s="236" t="s">
        <v>70</v>
      </c>
      <c r="B51" s="230">
        <v>600000</v>
      </c>
      <c r="C51" s="230">
        <f>1.05*B51</f>
        <v>630000</v>
      </c>
      <c r="D51" s="230">
        <f t="shared" si="6"/>
        <v>661500</v>
      </c>
      <c r="E51" s="453"/>
    </row>
    <row r="52" spans="1:5">
      <c r="A52" s="238" t="s">
        <v>169</v>
      </c>
      <c r="B52" s="228">
        <f>B54</f>
        <v>0</v>
      </c>
      <c r="C52" s="228">
        <f t="shared" ref="C52:D52" si="8">C54</f>
        <v>0</v>
      </c>
      <c r="D52" s="228">
        <f t="shared" si="8"/>
        <v>0</v>
      </c>
      <c r="E52" s="453"/>
    </row>
    <row r="53" spans="1:5" ht="28">
      <c r="A53" s="239" t="s">
        <v>170</v>
      </c>
      <c r="B53" s="228">
        <v>0</v>
      </c>
      <c r="C53" s="228">
        <f>B53*1.05</f>
        <v>0</v>
      </c>
      <c r="D53" s="230">
        <f>C53*1.05</f>
        <v>0</v>
      </c>
      <c r="E53" s="453"/>
    </row>
    <row r="54" spans="1:5">
      <c r="A54" s="240" t="s">
        <v>171</v>
      </c>
      <c r="B54" s="230">
        <v>0</v>
      </c>
      <c r="C54" s="230">
        <f>B54*1.05</f>
        <v>0</v>
      </c>
      <c r="D54" s="230">
        <f>C54*1.05</f>
        <v>0</v>
      </c>
      <c r="E54" s="453"/>
    </row>
    <row r="55" spans="1:5">
      <c r="A55" s="240" t="s">
        <v>172</v>
      </c>
      <c r="B55" s="230">
        <v>0</v>
      </c>
      <c r="C55" s="228">
        <f>B55*1.05</f>
        <v>0</v>
      </c>
      <c r="D55" s="230">
        <f t="shared" ref="D55" si="9">C55*1.05</f>
        <v>0</v>
      </c>
      <c r="E55" s="453"/>
    </row>
    <row r="56" spans="1:5">
      <c r="A56" s="234" t="s">
        <v>3</v>
      </c>
      <c r="B56" s="228">
        <f>B52+B49+B46+B44+B39+B37+B33+B31+B28+B25+B22+B19+B13+B9+B6+B4</f>
        <v>32030716.039999999</v>
      </c>
      <c r="C56" s="228">
        <f t="shared" ref="C56:D56" si="10">C52+C49+C46+C44+C39+C37+C33+C31+C28+C25+C22+C19+C13+C9+C6+C4</f>
        <v>33317251.841999996</v>
      </c>
      <c r="D56" s="228">
        <f t="shared" si="10"/>
        <v>34983114.434100002</v>
      </c>
      <c r="E56" s="228"/>
    </row>
    <row r="57" spans="1:5">
      <c r="A57" s="234" t="s">
        <v>173</v>
      </c>
      <c r="B57" s="228">
        <v>0</v>
      </c>
      <c r="C57" s="228">
        <f>B57*1.05</f>
        <v>0</v>
      </c>
      <c r="D57" s="228">
        <v>0</v>
      </c>
    </row>
    <row r="58" spans="1:5">
      <c r="A58" s="234" t="s">
        <v>74</v>
      </c>
      <c r="B58" s="228">
        <f>B56-B57</f>
        <v>32030716.039999999</v>
      </c>
      <c r="C58" s="241">
        <f>C56-C57</f>
        <v>33317251.841999996</v>
      </c>
      <c r="D58" s="241">
        <f>D56-D57</f>
        <v>34983114.434100002</v>
      </c>
    </row>
    <row r="59" spans="1:5">
      <c r="A59" s="242" t="s">
        <v>4</v>
      </c>
      <c r="B59" s="228"/>
      <c r="C59" s="230"/>
      <c r="D59" s="230"/>
    </row>
    <row r="60" spans="1:5">
      <c r="A60" s="229" t="s">
        <v>174</v>
      </c>
      <c r="B60" s="230">
        <f>-5000000+15000000</f>
        <v>10000000</v>
      </c>
      <c r="C60" s="230">
        <f t="shared" ref="C60:C70" si="11">B60*1.05</f>
        <v>10500000</v>
      </c>
      <c r="D60" s="230">
        <f t="shared" si="6"/>
        <v>11025000</v>
      </c>
    </row>
    <row r="61" spans="1:5">
      <c r="A61" s="240" t="s">
        <v>175</v>
      </c>
      <c r="B61" s="230">
        <f>-10000000+21000000</f>
        <v>11000000</v>
      </c>
      <c r="C61" s="230">
        <f t="shared" si="11"/>
        <v>11550000</v>
      </c>
      <c r="D61" s="230">
        <f t="shared" si="6"/>
        <v>12127500</v>
      </c>
    </row>
    <row r="62" spans="1:5" ht="28">
      <c r="A62" s="240" t="s">
        <v>176</v>
      </c>
      <c r="B62" s="243">
        <f>-30000000+63740439-10000000</f>
        <v>23740439</v>
      </c>
      <c r="C62" s="230">
        <f t="shared" si="11"/>
        <v>24927460.949999999</v>
      </c>
      <c r="D62" s="230">
        <f t="shared" si="6"/>
        <v>26173833.997499999</v>
      </c>
      <c r="E62" s="470">
        <v>30000000</v>
      </c>
    </row>
    <row r="63" spans="1:5">
      <c r="A63" s="240" t="s">
        <v>177</v>
      </c>
      <c r="B63" s="230">
        <v>0</v>
      </c>
      <c r="C63" s="230">
        <f t="shared" si="11"/>
        <v>0</v>
      </c>
      <c r="D63" s="230">
        <f t="shared" si="6"/>
        <v>0</v>
      </c>
      <c r="E63" s="470"/>
    </row>
    <row r="64" spans="1:5">
      <c r="A64" s="240" t="s">
        <v>178</v>
      </c>
      <c r="B64" s="243">
        <f>-140000000+178436156</f>
        <v>38436156</v>
      </c>
      <c r="C64" s="230">
        <f t="shared" si="11"/>
        <v>40357963.800000004</v>
      </c>
      <c r="D64" s="230">
        <f t="shared" si="6"/>
        <v>42375861.99000001</v>
      </c>
      <c r="E64" s="470">
        <v>140000000</v>
      </c>
    </row>
    <row r="65" spans="1:5" ht="28">
      <c r="A65" s="240" t="s">
        <v>179</v>
      </c>
      <c r="B65" s="244">
        <v>0</v>
      </c>
      <c r="C65" s="230">
        <f t="shared" si="11"/>
        <v>0</v>
      </c>
      <c r="D65" s="230">
        <f t="shared" si="6"/>
        <v>0</v>
      </c>
      <c r="E65" s="470"/>
    </row>
    <row r="66" spans="1:5">
      <c r="A66" s="240" t="s">
        <v>180</v>
      </c>
      <c r="B66" s="244">
        <v>0</v>
      </c>
      <c r="C66" s="230">
        <f t="shared" si="11"/>
        <v>0</v>
      </c>
      <c r="D66" s="230">
        <f t="shared" si="6"/>
        <v>0</v>
      </c>
      <c r="E66" s="470"/>
    </row>
    <row r="67" spans="1:5">
      <c r="A67" s="240" t="s">
        <v>177</v>
      </c>
      <c r="B67" s="244">
        <f>'Ward based rojects'!F5</f>
        <v>677853637.25928175</v>
      </c>
      <c r="C67" s="230">
        <f t="shared" si="11"/>
        <v>711746319.12224591</v>
      </c>
      <c r="D67" s="230">
        <f t="shared" si="6"/>
        <v>747333635.07835829</v>
      </c>
      <c r="E67" s="470">
        <v>93331526.076335907</v>
      </c>
    </row>
    <row r="68" spans="1:5">
      <c r="A68" s="245" t="s">
        <v>168</v>
      </c>
      <c r="B68" s="230">
        <f>142842684+93331526-100000000</f>
        <v>136174210</v>
      </c>
      <c r="C68" s="230">
        <f t="shared" si="11"/>
        <v>142982920.5</v>
      </c>
      <c r="D68" s="230">
        <f t="shared" si="6"/>
        <v>150132066.52500001</v>
      </c>
      <c r="E68" s="470"/>
    </row>
    <row r="69" spans="1:5" ht="16.5" customHeight="1">
      <c r="A69" s="240" t="s">
        <v>181</v>
      </c>
      <c r="B69" s="230">
        <v>0</v>
      </c>
      <c r="C69" s="230">
        <f t="shared" si="11"/>
        <v>0</v>
      </c>
      <c r="D69" s="230">
        <f t="shared" si="6"/>
        <v>0</v>
      </c>
      <c r="E69" s="470"/>
    </row>
    <row r="70" spans="1:5">
      <c r="A70" s="240" t="s">
        <v>182</v>
      </c>
      <c r="B70" s="230">
        <v>0</v>
      </c>
      <c r="C70" s="230">
        <f t="shared" si="11"/>
        <v>0</v>
      </c>
      <c r="D70" s="230">
        <f t="shared" si="6"/>
        <v>0</v>
      </c>
      <c r="E70" s="470"/>
    </row>
    <row r="71" spans="1:5">
      <c r="A71" s="242" t="s">
        <v>5</v>
      </c>
      <c r="B71" s="228">
        <f>SUM(B60:B70)</f>
        <v>897204442.25928175</v>
      </c>
      <c r="C71" s="246">
        <f>SUM(C60:C70)</f>
        <v>942064664.37224591</v>
      </c>
      <c r="D71" s="246">
        <f>SUM(D60:D70)</f>
        <v>989167897.59085834</v>
      </c>
      <c r="E71" s="470"/>
    </row>
    <row r="72" spans="1:5" ht="15.5">
      <c r="A72" s="247" t="s">
        <v>183</v>
      </c>
      <c r="B72" s="248">
        <f>B71+B58</f>
        <v>929235158.29928172</v>
      </c>
      <c r="C72" s="249">
        <f>C71+C58</f>
        <v>975381916.21424592</v>
      </c>
      <c r="D72" s="249">
        <f>D71+D58</f>
        <v>1024151012.0249584</v>
      </c>
      <c r="E72" s="470">
        <f>SUM(E60:E71)</f>
        <v>263331526.07633591</v>
      </c>
    </row>
  </sheetData>
  <protectedRanges>
    <protectedRange sqref="A67" name="Range1_13_1_1_1_3_1_1"/>
    <protectedRange sqref="A54:A55" name="Range1_19_1_1_1_3_1_1"/>
    <protectedRange sqref="A66" name="Range1_24_1_1_1_3_1_1"/>
    <protectedRange sqref="A60" name="Range1_16_1_1_1_1_3_1_1"/>
  </protectedRanges>
  <mergeCells count="2">
    <mergeCell ref="A1:D1"/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Q E A A B Q S w M E F A A C A A g A 0 q G d X P Q / 5 f y l A A A A 9 g A A A B I A H A B D b 2 5 m a W c v U G F j a 2 F n Z S 5 4 b W w g o h g A K K A U A A A A A A A A A A A A A A A A A A A A A A A A A A A A h Y 8 x D o I w G I W v Q r r T l h K N I a U M x k l J T E y M a 1 M q N M K P o c V y N w e P 5 B X E K O r m + L 7 3 D e / d r z e e D U 0 d X H R n T Q s p i j B F g Q b V F g b K F P X u G C 5 Q J v h W q p M s d T D K Y J P B F i m q n D s n h H j v s Y 9 x 2 5 W E U R q R Q 7 7 Z q U o 3 E n 1 k 8 1 8 O D V g n Q W k k + P 4 1 R j A c z W L M 2 B x T T i b I c w N f g Y 1 7 n + 0 P 5 M u + d n 2 n h Y Z w v e J k i p y 8 P 4 g H U E s D B B Q A A g A I A N K h n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o Z 1 c w H Q E R P 0 A A A A d A g A A E w A c A E Z v c m 1 1 b G F z L 1 N l Y 3 R p b 2 4 x L m 0 g o h g A K K A U A A A A A A A A A A A A A A A A A A A A A A A A A A A A v Z B f S 8 M w F M X f C / 0 O l + y l h W 4 m R Z Q x f H B d R V / E / Q H x M W u v W t c k I 0 2 k M v b d T R v d U N m r e U h u z r n n d + E 2 W J h K S V j 6 l 0 3 C I A y a V 6 6 x h A G Z W 9 Q f D K I 0 J n A F N Z o w A H e W y u o C n U L y t s B 6 l F m t U Z p H p T d r p T Z R T B L f O C B 3 Y q u 0 c b A V t q a D n E g c A g s U 6 t 3 1 Z 6 q 2 Q j Z d Z M X X N Y 6 8 8 S V H v 8 n J j t x z g W R / J O X t l s u y R 0 n j h h 1 R 3 u l r z 4 v + z k 2 A f O c S 2 B G A T s k b U w l u s L c f t H p z W 8 P y x 8 c 3 z j R / N j C 1 5 Q s a O K T g 5 g l S m l 6 c u e t y m F 1 P 4 X Y O Q 5 i d j 9 m Y U s o o I / t / H R a H Q S V P 7 m v y C V B L A Q I t A B Q A A g A I A N K h n V z 0 P + X 8 p Q A A A P Y A A A A S A A A A A A A A A A A A A A A A A A A A A A B D b 2 5 m a W c v U G F j a 2 F n Z S 5 4 b W x Q S w E C L Q A U A A I A C A D S o Z 1 c D 8 r p q 6 Q A A A D p A A A A E w A A A A A A A A A A A A A A A A D x A A A A W 0 N v b n R l b n R f V H l w Z X N d L n h t b F B L A Q I t A B Q A A g A I A N K h n V z A d A R E / Q A A A B 0 C A A A T A A A A A A A A A A A A A A A A A O I B A A B G b 3 J t d W x h c y 9 T Z W N 0 a W 9 u M S 5 t U E s F B g A A A A A D A A M A w g A A A C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0 M A A A A A A A A G w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m U 5 O W V m N y 1 i Y j R j L T Q z Y W E t Y W Q 4 M y 0 2 Z T B h N T l i Z j Z j M 2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F 1 Z X J 5 M T E z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U e X B l c y I g V m F s d W U 9 I n N B Q U F B Q U F B P S I g L z 4 8 R W 5 0 c n k g V H l w Z T 0 i R m l s b E x h c 3 R V c G R h d G V k I i B W Y W x 1 Z T 0 i Z D I w M j Y t M D Q t M j J U M T Q 6 M T M 6 M D Y u N j Y w O T U 5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1 N y I g L z 4 8 R W 5 0 c n k g V H l w Z T 0 i R m l s b E N v b H V t b k 5 h b W V z I i B W Y W x 1 Z T 0 i c 1 s m c X V v d D s g I C Z x d W 9 0 O y w m c X V v d D t F c 3 R p b W F 0 Z X M m c X V v d D s s J n F 1 b 3 Q 7 U H J v a m V j d G V k J n F 1 b 3 Q 7 L C Z x d W 9 0 O 1 B y b 2 p l Y 3 R l Z C A g J n F 1 b 3 Q 7 L C Z x d W 9 0 O 0 R y Y W Z 0 I E J 1 Z G d l d C B F c 3 R p b W F 0 Z X M g R l k g M j A y N i 8 y M D I 3 L U N B Q i B I U S A t I E Q 0 O T E 5 M D A w M T A x J n F 1 b 3 Q 7 X S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y A g L D B 9 J n F 1 b 3 Q 7 L C Z x d W 9 0 O 1 N l Y 3 R p b 2 4 x L 1 F 1 Z X J 5 M S 9 B d X R v U m V t b 3 Z l Z E N v b H V t b n M x L n t F c 3 R p b W F 0 Z X M s M X 0 m c X V v d D s s J n F 1 b 3 Q 7 U 2 V j d G l v b j E v U X V l c n k x L 0 F 1 d G 9 S Z W 1 v d m V k Q 2 9 s d W 1 u c z E u e 1 B y b 2 p l Y 3 R l Z C w y f S Z x d W 9 0 O y w m c X V v d D t T Z W N 0 a W 9 u M S 9 R d W V y e T E v Q X V 0 b 1 J l b W 9 2 Z W R D b 2 x 1 b W 5 z M S 5 7 U H J v a m V j d G V k I C A s M 3 0 m c X V v d D s s J n F 1 b 3 Q 7 U 2 V j d G l v b j E v U X V l c n k x L 0 F 1 d G 9 S Z W 1 v d m V k Q 2 9 s d W 1 u c z E u e 0 R y Y W Z 0 I E J 1 Z G d l d C B F c 3 R p b W F 0 Z X M g R l k g M j A y N i 8 y M D I 3 L U N B Q i B I U S A t I E Q 0 O T E 5 M D A w M T A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F 1 Z X J 5 M S 9 B d X R v U m V t b 3 Z l Z E N v b H V t b n M x L n s g I C w w f S Z x d W 9 0 O y w m c X V v d D t T Z W N 0 a W 9 u M S 9 R d W V y e T E v Q X V 0 b 1 J l b W 9 2 Z W R D b 2 x 1 b W 5 z M S 5 7 R X N 0 a W 1 h d G V z L D F 9 J n F 1 b 3 Q 7 L C Z x d W 9 0 O 1 N l Y 3 R p b 2 4 x L 1 F 1 Z X J 5 M S 9 B d X R v U m V t b 3 Z l Z E N v b H V t b n M x L n t Q c m 9 q Z W N 0 Z W Q s M n 0 m c X V v d D s s J n F 1 b 3 Q 7 U 2 V j d G l v b j E v U X V l c n k x L 0 F 1 d G 9 S Z W 1 v d m V k Q 2 9 s d W 1 u c z E u e 1 B y b 2 p l Y 3 R l Z C A g L D N 9 J n F 1 b 3 Q 7 L C Z x d W 9 0 O 1 N l Y 3 R p b 2 4 x L 1 F 1 Z X J 5 M S 9 B d X R v U m V t b 3 Z l Z E N v b H V t b n M x L n t E c m F m d C B C d W R n Z X Q g R X N 0 a W 1 h d G V z I E Z Z I D I w M j Y v M j A y N y 1 D Q U I g S F E g L S B E N D k x O T A w M D E w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U y M C g y K S 9 J b X B v c n R l Z C U y M F R l e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l M j A o M i k v R X h w Y W 5 k Z W Q l M j B D b 2 5 0 Z W 5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v x S p w 1 3 m N F i O k 2 E j a f g 9 c A A A A A A g A A A A A A E G Y A A A A B A A A g A A A A 5 X C 6 S 0 z T / c F Z J J + p j Z t q j T e G 5 I m h p V C X T k y 0 b W m G R Q s A A A A A D o A A A A A C A A A g A A A A i W v u 3 4 Z a j r l 6 S K s z H d a s d 4 u Z n j S J 0 R t z E B U N h 6 x j T I p Q A A A A F 7 T h m F h d C 9 k 5 q D n F j j a M p B q G J H 0 q E y j a g 8 0 Y + m L y 1 d D g j K d n y F e r 7 9 V 1 o O I A j N / S x + i 9 3 F 4 s N M 6 r 6 P 6 i y i A l 3 5 X m E h U n M H 1 2 Y d 3 f Q P U V f k 5 A A A A A h A U L z U 5 7 I F p p 4 1 R V E 5 E a 1 j K y H k S x d 1 9 v 8 Q 6 6 I l X 3 s / J i S O W N K U n y A R 9 C A h i z C s a 1 3 i P L + B 6 8 J l 5 5 3 S H X g Q + C R A = = < / D a t a M a s h u p > 
</file>

<file path=customXml/itemProps1.xml><?xml version="1.0" encoding="utf-8"?>
<ds:datastoreItem xmlns:ds="http://schemas.openxmlformats.org/officeDocument/2006/customXml" ds:itemID="{063875E1-3F29-4270-AFE5-070BEEA85A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</vt:i4>
      </vt:variant>
    </vt:vector>
  </HeadingPairs>
  <TitlesOfParts>
    <vt:vector size="25" baseType="lpstr">
      <vt:lpstr>Resource Envelop</vt:lpstr>
      <vt:lpstr>Salary</vt:lpstr>
      <vt:lpstr>Programme</vt:lpstr>
      <vt:lpstr>Summary</vt:lpstr>
      <vt:lpstr>Economic Class</vt:lpstr>
      <vt:lpstr>Ward based rojects</vt:lpstr>
      <vt:lpstr>Pending bills allocation</vt:lpstr>
      <vt:lpstr>Agriculture.</vt:lpstr>
      <vt:lpstr>Road</vt:lpstr>
      <vt:lpstr>Tourism- Water</vt:lpstr>
      <vt:lpstr>Education</vt:lpstr>
      <vt:lpstr>Health-sanitation</vt:lpstr>
      <vt:lpstr>Lands</vt:lpstr>
      <vt:lpstr>Trade</vt:lpstr>
      <vt:lpstr>Finance</vt:lpstr>
      <vt:lpstr>CPSB</vt:lpstr>
      <vt:lpstr>Gender and Culture</vt:lpstr>
      <vt:lpstr>Gov</vt:lpstr>
      <vt:lpstr>P Admin</vt:lpstr>
      <vt:lpstr>Assembly</vt:lpstr>
      <vt:lpstr>Sheet1</vt:lpstr>
      <vt:lpstr>Education!Print_Area</vt:lpstr>
      <vt:lpstr>'Pending bills allocation'!Print_Area</vt:lpstr>
      <vt:lpstr>'Tourism- Water'!Print_Area</vt:lpstr>
      <vt:lpstr>'Ward based rojects'!Print_Area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USER</cp:lastModifiedBy>
  <cp:lastPrinted>2026-04-28T13:03:15Z</cp:lastPrinted>
  <dcterms:created xsi:type="dcterms:W3CDTF">2025-04-14T11:59:31Z</dcterms:created>
  <dcterms:modified xsi:type="dcterms:W3CDTF">2026-05-13T06:55:21Z</dcterms:modified>
</cp:coreProperties>
</file>