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ustomProperty2.bin" ContentType="application/vnd.openxmlformats-officedocument.spreadsheetml.customProperty"/>
  <Override PartName="/xl/comments4.xml" ContentType="application/vnd.openxmlformats-officedocument.spreadsheetml.comments+xml"/>
  <Override PartName="/xl/customProperty3.bin" ContentType="application/vnd.openxmlformats-officedocument.spreadsheetml.customProperty"/>
  <Override PartName="/xl/comments5.xml" ContentType="application/vnd.openxmlformats-officedocument.spreadsheetml.comment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omments6.xml" ContentType="application/vnd.openxmlformats-officedocument.spreadsheetml.comments+xml"/>
  <Override PartName="/xl/customProperty6.bin" ContentType="application/vnd.openxmlformats-officedocument.spreadsheetml.customProperty"/>
  <Override PartName="/xl/comments7.xml" ContentType="application/vnd.openxmlformats-officedocument.spreadsheetml.comments+xml"/>
  <Override PartName="/xl/customProperty7.bin" ContentType="application/vnd.openxmlformats-officedocument.spreadsheetml.customProperty"/>
  <Override PartName="/xl/comments8.xml" ContentType="application/vnd.openxmlformats-officedocument.spreadsheetml.comments+xml"/>
  <Override PartName="/xl/customProperty8.bin" ContentType="application/vnd.openxmlformats-officedocument.spreadsheetml.customProperty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  <Override PartName="/xl/threadedComments/threadedComment4.xml" ContentType="application/vnd.ms-excel.threadedcomments+xml"/>
  <Override PartName="/xl/threadedComments/threadedComment5.xml" ContentType="application/vnd.ms-excel.threadedcomments+xml"/>
  <Override PartName="/xl/threadedComments/threadedComment6.xml" ContentType="application/vnd.ms-excel.threadedcomments+xml"/>
  <Override PartName="/xl/threadedComments/threadedComment7.xml" ContentType="application/vnd.ms-excel.threadedcomments+xml"/>
  <Override PartName="/xl/threadedComments/threadedComment8.xml" ContentType="application/vnd.ms-excel.threadedcomments+xml"/>
  <Override PartName="/xl/threadedComments/threadedComment9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10" yWindow="-110" windowWidth="19420" windowHeight="11020" firstSheet="8" activeTab="14"/>
  </bookViews>
  <sheets>
    <sheet name="Summary" sheetId="2" r:id="rId1"/>
    <sheet name="Classification" sheetId="18" r:id="rId2"/>
    <sheet name="Sheet8" sheetId="28" r:id="rId3"/>
    <sheet name="REC &amp; DEV" sheetId="29" r:id="rId4"/>
    <sheet name="Bill one Cuts" sheetId="21" r:id="rId5"/>
    <sheet name="Resource envelope" sheetId="17" r:id="rId6"/>
    <sheet name="Local Rev." sheetId="20" r:id="rId7"/>
    <sheet name="pending bills" sheetId="16" r:id="rId8"/>
    <sheet name="Critical Programmes and savings" sheetId="19" r:id="rId9"/>
    <sheet name="Agriculture" sheetId="3" r:id="rId10"/>
    <sheet name="Tourism &amp; water" sheetId="4" r:id="rId11"/>
    <sheet name="Education" sheetId="5" r:id="rId12"/>
    <sheet name="Roads" sheetId="8" r:id="rId13"/>
    <sheet name="Health" sheetId="6" r:id="rId14"/>
    <sheet name="Finance" sheetId="10" r:id="rId15"/>
    <sheet name="Trade" sheetId="7" r:id="rId16"/>
    <sheet name="Lands &amp;hsing &amp; municipalities" sheetId="9" r:id="rId17"/>
    <sheet name="Gov." sheetId="11" r:id="rId18"/>
    <sheet name="Gender" sheetId="12" r:id="rId19"/>
    <sheet name="Public Admin" sheetId="13" r:id="rId20"/>
    <sheet name="CPSB" sheetId="14" r:id="rId21"/>
    <sheet name="Assembly" sheetId="15" r:id="rId22"/>
  </sheets>
  <externalReferences>
    <externalReference r:id="rId23"/>
    <externalReference r:id="rId24"/>
  </externalReferences>
  <definedNames>
    <definedName name="_Hlk96330529" localSheetId="0">Summary!#REF!</definedName>
    <definedName name="_xlnm.Print_Area" localSheetId="9">Agriculture!$A$1:$E$412</definedName>
    <definedName name="_xlnm.Print_Area" localSheetId="21">Assembly!$A$1:$E$160</definedName>
    <definedName name="_xlnm.Print_Area" localSheetId="20">CPSB!$A$1:$E$60</definedName>
    <definedName name="_xlnm.Print_Area" localSheetId="8">'Critical Programmes and savings'!$A$1:$E$35</definedName>
    <definedName name="_xlnm.Print_Area" localSheetId="11">Education!$A$1:$D$148</definedName>
    <definedName name="_xlnm.Print_Area" localSheetId="14">Finance!$A$1:$D$457</definedName>
    <definedName name="_xlnm.Print_Area" localSheetId="18">Gender!$A$1:$E$154</definedName>
    <definedName name="_xlnm.Print_Area" localSheetId="17">Gov.!$A$1:$E$158</definedName>
    <definedName name="_xlnm.Print_Area" localSheetId="13">Health!$A$1:$E$1287</definedName>
    <definedName name="_xlnm.Print_Area" localSheetId="16">'Lands &amp;hsing &amp; municipalities'!$A$1:$E$326</definedName>
    <definedName name="_xlnm.Print_Area" localSheetId="6">'Local Rev.'!$A$1:$D$116</definedName>
    <definedName name="_xlnm.Print_Area" localSheetId="19">'Public Admin'!#REF!</definedName>
    <definedName name="_xlnm.Print_Area" localSheetId="3">'REC &amp; DEV'!$A$1:$D$33</definedName>
    <definedName name="_xlnm.Print_Area" localSheetId="5">'Resource envelope'!$A$1:$G$57</definedName>
    <definedName name="_xlnm.Print_Area" localSheetId="12">Roads!$A$1:$E$69</definedName>
    <definedName name="_xlnm.Print_Area" localSheetId="2">Sheet8!$A$1:$J$34</definedName>
    <definedName name="_xlnm.Print_Area" localSheetId="10">'Tourism &amp; water'!$A$1:$E$144</definedName>
    <definedName name="_xlnm.Print_Area" localSheetId="15">Trade!$A$1:$E$242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5" i="12" l="1"/>
  <c r="C71" i="12"/>
  <c r="E3" i="2"/>
  <c r="E5" i="29"/>
  <c r="E7" i="29"/>
  <c r="C241" i="7"/>
  <c r="C101" i="12"/>
  <c r="C25" i="21"/>
  <c r="C249" i="9"/>
  <c r="G12" i="4"/>
  <c r="G4" i="4" s="1"/>
  <c r="G76" i="4"/>
  <c r="G72" i="4"/>
  <c r="G65" i="4"/>
  <c r="H65" i="4"/>
  <c r="I65" i="4"/>
  <c r="F65" i="4"/>
  <c r="C74" i="8"/>
  <c r="F69" i="4"/>
  <c r="C97" i="3"/>
  <c r="C33" i="6"/>
  <c r="D12" i="20"/>
  <c r="C57" i="8"/>
  <c r="E10" i="29" l="1"/>
  <c r="E13" i="29"/>
  <c r="D40" i="28"/>
  <c r="F4" i="28"/>
  <c r="F6" i="28"/>
  <c r="F7" i="28"/>
  <c r="F9" i="28"/>
  <c r="F10" i="28"/>
  <c r="F11" i="28"/>
  <c r="F12" i="28"/>
  <c r="F13" i="28"/>
  <c r="F14" i="28"/>
  <c r="F16" i="28"/>
  <c r="F17" i="28"/>
  <c r="F18" i="28"/>
  <c r="F19" i="28"/>
  <c r="F20" i="28"/>
  <c r="F21" i="28"/>
  <c r="F22" i="28"/>
  <c r="F23" i="28"/>
  <c r="F24" i="28"/>
  <c r="F25" i="28"/>
  <c r="F26" i="28"/>
  <c r="F27" i="28"/>
  <c r="F28" i="28"/>
  <c r="F29" i="28"/>
  <c r="F30" i="28"/>
  <c r="F31" i="28"/>
  <c r="F32" i="28"/>
  <c r="I38" i="28"/>
  <c r="H32" i="28"/>
  <c r="I32" i="28" s="1"/>
  <c r="D32" i="28"/>
  <c r="H31" i="28"/>
  <c r="E31" i="28"/>
  <c r="I31" i="28" s="1"/>
  <c r="B31" i="28"/>
  <c r="D31" i="28" s="1"/>
  <c r="H30" i="28"/>
  <c r="E30" i="28"/>
  <c r="B30" i="28"/>
  <c r="E29" i="28"/>
  <c r="I29" i="28" s="1"/>
  <c r="D29" i="28"/>
  <c r="E28" i="28"/>
  <c r="I28" i="28" s="1"/>
  <c r="B28" i="28"/>
  <c r="D28" i="28" s="1"/>
  <c r="E27" i="28"/>
  <c r="I27" i="28" s="1"/>
  <c r="D27" i="28"/>
  <c r="E26" i="28"/>
  <c r="I26" i="28" s="1"/>
  <c r="D26" i="28"/>
  <c r="H25" i="28"/>
  <c r="E25" i="28"/>
  <c r="I25" i="28" s="1"/>
  <c r="B25" i="28"/>
  <c r="H24" i="28"/>
  <c r="E24" i="28"/>
  <c r="I24" i="28" s="1"/>
  <c r="C24" i="28"/>
  <c r="B24" i="28" s="1"/>
  <c r="H23" i="28"/>
  <c r="I23" i="28" s="1"/>
  <c r="D23" i="28"/>
  <c r="H22" i="28"/>
  <c r="B22" i="28"/>
  <c r="H21" i="28"/>
  <c r="I21" i="28" s="1"/>
  <c r="D21" i="28"/>
  <c r="H20" i="28"/>
  <c r="I20" i="28" s="1"/>
  <c r="D20" i="28"/>
  <c r="H19" i="28"/>
  <c r="B19" i="28"/>
  <c r="H18" i="28"/>
  <c r="G18" i="28"/>
  <c r="E18" i="28"/>
  <c r="B18" i="28"/>
  <c r="D18" i="28" s="1"/>
  <c r="H17" i="28"/>
  <c r="G17" i="28"/>
  <c r="E17" i="28"/>
  <c r="C17" i="28"/>
  <c r="B17" i="28"/>
  <c r="H16" i="28"/>
  <c r="E16" i="28"/>
  <c r="B16" i="28"/>
  <c r="E15" i="28"/>
  <c r="B15" i="28"/>
  <c r="D15" i="28" s="1"/>
  <c r="H14" i="28"/>
  <c r="E14" i="28"/>
  <c r="B14" i="28"/>
  <c r="D14" i="28" s="1"/>
  <c r="H13" i="28"/>
  <c r="E13" i="28"/>
  <c r="I13" i="28" s="1"/>
  <c r="B13" i="28"/>
  <c r="D13" i="28" s="1"/>
  <c r="H12" i="28"/>
  <c r="E12" i="28"/>
  <c r="B12" i="28"/>
  <c r="D12" i="28" s="1"/>
  <c r="H11" i="28"/>
  <c r="E11" i="28"/>
  <c r="B11" i="28"/>
  <c r="D11" i="28" s="1"/>
  <c r="H10" i="28"/>
  <c r="I10" i="28" s="1"/>
  <c r="D10" i="28"/>
  <c r="H9" i="28"/>
  <c r="B9" i="28"/>
  <c r="E8" i="28"/>
  <c r="B8" i="28"/>
  <c r="H7" i="28"/>
  <c r="E7" i="28"/>
  <c r="D7" i="28" s="1"/>
  <c r="E6" i="28"/>
  <c r="I6" i="28" s="1"/>
  <c r="C5" i="28"/>
  <c r="B5" i="28"/>
  <c r="H4" i="28"/>
  <c r="E4" i="28"/>
  <c r="B4" i="28"/>
  <c r="G3" i="28"/>
  <c r="E3" i="28"/>
  <c r="B3" i="28"/>
  <c r="E24" i="19"/>
  <c r="E25" i="19"/>
  <c r="B97" i="10"/>
  <c r="C52" i="6"/>
  <c r="C49" i="6"/>
  <c r="C48" i="6"/>
  <c r="C372" i="3"/>
  <c r="F6" i="10"/>
  <c r="F42" i="2"/>
  <c r="I14" i="28" l="1"/>
  <c r="D6" i="28"/>
  <c r="I18" i="28"/>
  <c r="I11" i="28"/>
  <c r="C33" i="28"/>
  <c r="G33" i="28"/>
  <c r="D4" i="28"/>
  <c r="D8" i="28"/>
  <c r="I12" i="28"/>
  <c r="D16" i="28"/>
  <c r="I16" i="28"/>
  <c r="I30" i="28"/>
  <c r="I7" i="28"/>
  <c r="D17" i="28"/>
  <c r="B33" i="28"/>
  <c r="I17" i="28"/>
  <c r="D25" i="28"/>
  <c r="D30" i="28"/>
  <c r="D24" i="28"/>
  <c r="I4" i="28"/>
  <c r="D3" i="28"/>
  <c r="F103" i="3" l="1"/>
  <c r="E9" i="17"/>
  <c r="C106" i="3" l="1"/>
  <c r="C141" i="9"/>
  <c r="F31" i="2"/>
  <c r="E31" i="2"/>
  <c r="C58" i="14"/>
  <c r="C53" i="14"/>
  <c r="E29" i="18"/>
  <c r="C77" i="12"/>
  <c r="C159" i="7"/>
  <c r="E29" i="2" l="1"/>
  <c r="E28" i="2"/>
  <c r="C56" i="14" l="1"/>
  <c r="C55" i="14" s="1"/>
  <c r="F32" i="2"/>
  <c r="C150" i="15"/>
  <c r="C97" i="13"/>
  <c r="B96" i="10"/>
  <c r="C130" i="4"/>
  <c r="C318" i="9"/>
  <c r="C136" i="9"/>
  <c r="C61" i="9"/>
  <c r="C156" i="7"/>
  <c r="C75" i="7"/>
  <c r="E26" i="19"/>
  <c r="E27" i="19"/>
  <c r="E28" i="19"/>
  <c r="C150" i="6"/>
  <c r="C91" i="6"/>
  <c r="B118" i="5"/>
  <c r="C98" i="3"/>
  <c r="A43" i="21"/>
  <c r="A38" i="21"/>
  <c r="A40" i="21"/>
  <c r="A42" i="21"/>
  <c r="A3" i="21"/>
  <c r="A6" i="21"/>
  <c r="A8" i="21"/>
  <c r="A10" i="21"/>
  <c r="A12" i="21"/>
  <c r="A14" i="21"/>
  <c r="A16" i="21"/>
  <c r="A18" i="21"/>
  <c r="A20" i="21"/>
  <c r="A22" i="21"/>
  <c r="A24" i="21"/>
  <c r="A26" i="21"/>
  <c r="A27" i="21"/>
  <c r="A29" i="21"/>
  <c r="A30" i="21"/>
  <c r="A31" i="21"/>
  <c r="A32" i="21"/>
  <c r="A34" i="21"/>
  <c r="A36" i="21"/>
  <c r="A2" i="21"/>
  <c r="B456" i="10"/>
  <c r="C456" i="10" s="1"/>
  <c r="D456" i="10" s="1"/>
  <c r="D1186" i="6"/>
  <c r="E1186" i="6"/>
  <c r="E1285" i="6"/>
  <c r="D1285" i="6"/>
  <c r="C1285" i="6"/>
  <c r="B124" i="5"/>
  <c r="C124" i="5" s="1"/>
  <c r="D124" i="5" s="1"/>
  <c r="C38" i="11"/>
  <c r="D153" i="12"/>
  <c r="E153" i="12" s="1"/>
  <c r="C153" i="12"/>
  <c r="C79" i="12"/>
  <c r="D79" i="12" s="1"/>
  <c r="E79" i="12" s="1"/>
  <c r="C252" i="13"/>
  <c r="D252" i="13" s="1"/>
  <c r="E252" i="13" s="1"/>
  <c r="D117" i="20"/>
  <c r="C47" i="6"/>
  <c r="C114" i="20"/>
  <c r="D113" i="20"/>
  <c r="D114" i="20" s="1"/>
  <c r="D98" i="20"/>
  <c r="D241" i="7" s="1"/>
  <c r="E241" i="7" s="1"/>
  <c r="C98" i="20"/>
  <c r="D90" i="20"/>
  <c r="C90" i="20"/>
  <c r="D84" i="20"/>
  <c r="C84" i="20"/>
  <c r="D76" i="20"/>
  <c r="C76" i="20"/>
  <c r="D61" i="20"/>
  <c r="C61" i="20"/>
  <c r="D54" i="20"/>
  <c r="C54" i="20"/>
  <c r="D33" i="20"/>
  <c r="C1286" i="6" s="1"/>
  <c r="C33" i="20"/>
  <c r="D27" i="20"/>
  <c r="C143" i="4" s="1"/>
  <c r="D143" i="4" s="1"/>
  <c r="E143" i="4" s="1"/>
  <c r="C27" i="20"/>
  <c r="C20" i="20"/>
  <c r="C116" i="20" s="1"/>
  <c r="D20" i="20"/>
  <c r="C325" i="9" l="1"/>
  <c r="D325" i="9" s="1"/>
  <c r="E325" i="9" s="1"/>
  <c r="C68" i="8"/>
  <c r="D68" i="8" s="1"/>
  <c r="E68" i="8" s="1"/>
  <c r="D116" i="20"/>
  <c r="C411" i="3"/>
  <c r="D411" i="3" s="1"/>
  <c r="E411" i="3" s="1"/>
  <c r="D1286" i="6"/>
  <c r="E1286" i="6" s="1"/>
  <c r="C57" i="14"/>
  <c r="D120" i="20" l="1"/>
  <c r="D119" i="20"/>
  <c r="C303" i="6"/>
  <c r="C302" i="6"/>
  <c r="C299" i="6"/>
  <c r="C298" i="6"/>
  <c r="C208" i="6"/>
  <c r="C207" i="6"/>
  <c r="C204" i="6"/>
  <c r="C203" i="6"/>
  <c r="F249" i="6"/>
  <c r="B398" i="10" l="1"/>
  <c r="B363" i="10"/>
  <c r="B318" i="10"/>
  <c r="B281" i="10"/>
  <c r="B294" i="10"/>
  <c r="B277" i="10"/>
  <c r="B209" i="10"/>
  <c r="B170" i="10"/>
  <c r="B140" i="10"/>
  <c r="B109" i="10"/>
  <c r="B120" i="10"/>
  <c r="B121" i="10"/>
  <c r="B243" i="10"/>
  <c r="C44" i="8"/>
  <c r="C111" i="9"/>
  <c r="C14" i="19"/>
  <c r="D14" i="19"/>
  <c r="C15" i="19"/>
  <c r="E15" i="19" s="1"/>
  <c r="E16" i="19"/>
  <c r="D17" i="19"/>
  <c r="E17" i="19" s="1"/>
  <c r="C18" i="19"/>
  <c r="D18" i="19"/>
  <c r="E18" i="19" s="1"/>
  <c r="E19" i="19"/>
  <c r="C20" i="19"/>
  <c r="D20" i="19"/>
  <c r="E20" i="19" s="1"/>
  <c r="E21" i="19"/>
  <c r="E22" i="19"/>
  <c r="E23" i="19"/>
  <c r="E29" i="19"/>
  <c r="E30" i="19"/>
  <c r="E31" i="19"/>
  <c r="E32" i="19"/>
  <c r="E33" i="19"/>
  <c r="C236" i="13"/>
  <c r="C218" i="13"/>
  <c r="C231" i="13"/>
  <c r="C321" i="9"/>
  <c r="C277" i="9"/>
  <c r="C276" i="9"/>
  <c r="C173" i="9"/>
  <c r="C199" i="9"/>
  <c r="E14" i="19" l="1"/>
  <c r="E35" i="19" s="1"/>
  <c r="C35" i="19"/>
  <c r="D35" i="19"/>
  <c r="F136" i="9" l="1"/>
  <c r="F6" i="18" l="1"/>
  <c r="F26" i="18"/>
  <c r="F27" i="18"/>
  <c r="F28" i="18"/>
  <c r="F29" i="18"/>
  <c r="J17" i="18"/>
  <c r="J33" i="18" s="1"/>
  <c r="I33" i="18"/>
  <c r="D148" i="11"/>
  <c r="E148" i="11" s="1"/>
  <c r="D147" i="11"/>
  <c r="E147" i="11" s="1"/>
  <c r="D146" i="11"/>
  <c r="E146" i="11" s="1"/>
  <c r="D145" i="11"/>
  <c r="E145" i="11" s="1"/>
  <c r="C144" i="11"/>
  <c r="D144" i="11" s="1"/>
  <c r="E144" i="11" s="1"/>
  <c r="D143" i="11"/>
  <c r="E143" i="11" s="1"/>
  <c r="D142" i="11"/>
  <c r="E142" i="11" s="1"/>
  <c r="D141" i="11"/>
  <c r="E141" i="11" s="1"/>
  <c r="D140" i="11"/>
  <c r="E140" i="11" s="1"/>
  <c r="D139" i="11"/>
  <c r="E139" i="11" s="1"/>
  <c r="D138" i="11"/>
  <c r="E138" i="11" s="1"/>
  <c r="D137" i="11"/>
  <c r="E137" i="11" s="1"/>
  <c r="D136" i="11"/>
  <c r="E136" i="11" s="1"/>
  <c r="D135" i="11"/>
  <c r="E135" i="11" s="1"/>
  <c r="C134" i="11"/>
  <c r="D134" i="11" s="1"/>
  <c r="E134" i="11" s="1"/>
  <c r="D133" i="11"/>
  <c r="E133" i="11" s="1"/>
  <c r="C132" i="11"/>
  <c r="D132" i="11" s="1"/>
  <c r="E132" i="11" s="1"/>
  <c r="D131" i="11"/>
  <c r="E131" i="11" s="1"/>
  <c r="D130" i="11"/>
  <c r="E130" i="11" s="1"/>
  <c r="D129" i="11"/>
  <c r="E129" i="11" s="1"/>
  <c r="D128" i="11"/>
  <c r="E128" i="11" s="1"/>
  <c r="D127" i="11"/>
  <c r="E127" i="11" s="1"/>
  <c r="D126" i="11"/>
  <c r="E126" i="11" s="1"/>
  <c r="D125" i="11"/>
  <c r="E125" i="11" s="1"/>
  <c r="D124" i="11"/>
  <c r="E124" i="11" s="1"/>
  <c r="D123" i="11"/>
  <c r="E123" i="11" s="1"/>
  <c r="D122" i="11"/>
  <c r="E122" i="11" s="1"/>
  <c r="D121" i="11"/>
  <c r="E121" i="11" s="1"/>
  <c r="D120" i="11"/>
  <c r="E120" i="11" s="1"/>
  <c r="C119" i="11"/>
  <c r="D119" i="11" s="1"/>
  <c r="E119" i="11" s="1"/>
  <c r="D118" i="11"/>
  <c r="E118" i="11" s="1"/>
  <c r="C117" i="11"/>
  <c r="D117" i="11" s="1"/>
  <c r="E117" i="11" s="1"/>
  <c r="D116" i="11"/>
  <c r="E116" i="11" s="1"/>
  <c r="D115" i="11"/>
  <c r="E115" i="11" s="1"/>
  <c r="C114" i="11"/>
  <c r="D114" i="11" s="1"/>
  <c r="E114" i="11" s="1"/>
  <c r="D113" i="11"/>
  <c r="E113" i="11" s="1"/>
  <c r="D112" i="11"/>
  <c r="E112" i="11" s="1"/>
  <c r="D111" i="11"/>
  <c r="E111" i="11" s="1"/>
  <c r="D110" i="11"/>
  <c r="E110" i="11" s="1"/>
  <c r="C109" i="11"/>
  <c r="D109" i="11" s="1"/>
  <c r="E109" i="11" s="1"/>
  <c r="D108" i="11"/>
  <c r="E108" i="11" s="1"/>
  <c r="D107" i="11"/>
  <c r="E107" i="11" s="1"/>
  <c r="D106" i="11"/>
  <c r="E106" i="11" s="1"/>
  <c r="D105" i="11"/>
  <c r="E105" i="11" s="1"/>
  <c r="D104" i="11"/>
  <c r="E104" i="11" s="1"/>
  <c r="C103" i="11"/>
  <c r="D103" i="11" s="1"/>
  <c r="E103" i="11" s="1"/>
  <c r="D102" i="11"/>
  <c r="E102" i="11" s="1"/>
  <c r="D101" i="11"/>
  <c r="E101" i="11" s="1"/>
  <c r="C100" i="11"/>
  <c r="D100" i="11" s="1"/>
  <c r="E100" i="11" s="1"/>
  <c r="D99" i="11"/>
  <c r="E99" i="11" s="1"/>
  <c r="D98" i="11"/>
  <c r="E98" i="11" s="1"/>
  <c r="D97" i="11"/>
  <c r="E97" i="11" s="1"/>
  <c r="D96" i="11"/>
  <c r="E96" i="11" s="1"/>
  <c r="C95" i="11"/>
  <c r="D95" i="11" s="1"/>
  <c r="E95" i="11" s="1"/>
  <c r="D94" i="11"/>
  <c r="E94" i="11" s="1"/>
  <c r="D93" i="11"/>
  <c r="E93" i="11" s="1"/>
  <c r="D92" i="11"/>
  <c r="E92" i="11" s="1"/>
  <c r="D91" i="11"/>
  <c r="E91" i="11" s="1"/>
  <c r="C90" i="11"/>
  <c r="D90" i="11" s="1"/>
  <c r="E90" i="11" s="1"/>
  <c r="D89" i="11"/>
  <c r="E89" i="11" s="1"/>
  <c r="D88" i="11"/>
  <c r="E88" i="11" s="1"/>
  <c r="D87" i="11"/>
  <c r="E87" i="11" s="1"/>
  <c r="D86" i="11"/>
  <c r="E86" i="11" s="1"/>
  <c r="D85" i="11"/>
  <c r="E85" i="11" s="1"/>
  <c r="C84" i="11"/>
  <c r="D84" i="11" s="1"/>
  <c r="E84" i="11" s="1"/>
  <c r="D83" i="11"/>
  <c r="E83" i="11" s="1"/>
  <c r="D82" i="11"/>
  <c r="E82" i="11" s="1"/>
  <c r="C81" i="11"/>
  <c r="D81" i="11" s="1"/>
  <c r="E81" i="11" s="1"/>
  <c r="D80" i="11"/>
  <c r="E80" i="11" s="1"/>
  <c r="D79" i="11"/>
  <c r="E79" i="11" s="1"/>
  <c r="C78" i="11"/>
  <c r="D78" i="11" s="1"/>
  <c r="E78" i="11" s="1"/>
  <c r="D75" i="11"/>
  <c r="E75" i="11" s="1"/>
  <c r="D74" i="11"/>
  <c r="E74" i="11" s="1"/>
  <c r="D73" i="11"/>
  <c r="E73" i="11" s="1"/>
  <c r="D72" i="11"/>
  <c r="E72" i="11" s="1"/>
  <c r="C71" i="11"/>
  <c r="D71" i="11" s="1"/>
  <c r="E71" i="11" s="1"/>
  <c r="D70" i="11"/>
  <c r="E70" i="11" s="1"/>
  <c r="D69" i="11"/>
  <c r="E69" i="11" s="1"/>
  <c r="D68" i="11"/>
  <c r="E68" i="11" s="1"/>
  <c r="C67" i="11"/>
  <c r="D67" i="11" s="1"/>
  <c r="E67" i="11" s="1"/>
  <c r="D66" i="11"/>
  <c r="E66" i="11" s="1"/>
  <c r="D65" i="11"/>
  <c r="E65" i="11" s="1"/>
  <c r="D64" i="11"/>
  <c r="E64" i="11" s="1"/>
  <c r="D63" i="11"/>
  <c r="E63" i="11" s="1"/>
  <c r="D62" i="11"/>
  <c r="E62" i="11" s="1"/>
  <c r="C61" i="11"/>
  <c r="D61" i="11" s="1"/>
  <c r="E61" i="11" s="1"/>
  <c r="D60" i="11"/>
  <c r="E60" i="11" s="1"/>
  <c r="C59" i="11"/>
  <c r="D59" i="11" s="1"/>
  <c r="E59" i="11" s="1"/>
  <c r="D58" i="11"/>
  <c r="E58" i="11" s="1"/>
  <c r="D57" i="11"/>
  <c r="E57" i="11" s="1"/>
  <c r="D56" i="11"/>
  <c r="E56" i="11" s="1"/>
  <c r="D55" i="11"/>
  <c r="E55" i="11" s="1"/>
  <c r="D54" i="11"/>
  <c r="E54" i="11" s="1"/>
  <c r="D53" i="11"/>
  <c r="E53" i="11" s="1"/>
  <c r="D52" i="11"/>
  <c r="E52" i="11" s="1"/>
  <c r="D51" i="11"/>
  <c r="E51" i="11" s="1"/>
  <c r="D50" i="11"/>
  <c r="E50" i="11" s="1"/>
  <c r="D49" i="11"/>
  <c r="E49" i="11" s="1"/>
  <c r="D48" i="11"/>
  <c r="E48" i="11" s="1"/>
  <c r="C47" i="11"/>
  <c r="D47" i="11" s="1"/>
  <c r="E47" i="11" s="1"/>
  <c r="C46" i="11"/>
  <c r="C45" i="11" s="1"/>
  <c r="D45" i="11"/>
  <c r="E45" i="11" s="1"/>
  <c r="D44" i="11"/>
  <c r="E44" i="11" s="1"/>
  <c r="D43" i="11"/>
  <c r="E43" i="11" s="1"/>
  <c r="C42" i="11"/>
  <c r="D42" i="11" s="1"/>
  <c r="E42" i="11" s="1"/>
  <c r="D41" i="11"/>
  <c r="E41" i="11" s="1"/>
  <c r="C40" i="11"/>
  <c r="D40" i="11" s="1"/>
  <c r="E40" i="11" s="1"/>
  <c r="D39" i="11"/>
  <c r="E39" i="11" s="1"/>
  <c r="D38" i="11"/>
  <c r="E38" i="11" s="1"/>
  <c r="C37" i="11"/>
  <c r="D37" i="11" s="1"/>
  <c r="E37" i="11" s="1"/>
  <c r="D36" i="11"/>
  <c r="E36" i="11" s="1"/>
  <c r="D35" i="11"/>
  <c r="E35" i="11" s="1"/>
  <c r="D34" i="11"/>
  <c r="E34" i="11" s="1"/>
  <c r="D33" i="11"/>
  <c r="E33" i="11" s="1"/>
  <c r="D32" i="11"/>
  <c r="E32" i="11" s="1"/>
  <c r="C31" i="11"/>
  <c r="D31" i="11" s="1"/>
  <c r="E31" i="11" s="1"/>
  <c r="D30" i="11"/>
  <c r="E30" i="11" s="1"/>
  <c r="D29" i="11"/>
  <c r="E29" i="11" s="1"/>
  <c r="C28" i="11"/>
  <c r="D28" i="11" s="1"/>
  <c r="E28" i="11" s="1"/>
  <c r="D27" i="11"/>
  <c r="E27" i="11" s="1"/>
  <c r="D26" i="11"/>
  <c r="E26" i="11" s="1"/>
  <c r="D25" i="11"/>
  <c r="E25" i="11" s="1"/>
  <c r="D24" i="11"/>
  <c r="E24" i="11" s="1"/>
  <c r="C23" i="11"/>
  <c r="D23" i="11" s="1"/>
  <c r="E23" i="11" s="1"/>
  <c r="D22" i="11"/>
  <c r="E22" i="11" s="1"/>
  <c r="D21" i="11"/>
  <c r="E21" i="11" s="1"/>
  <c r="D20" i="11"/>
  <c r="E20" i="11" s="1"/>
  <c r="C19" i="11"/>
  <c r="D19" i="11" s="1"/>
  <c r="E19" i="11" s="1"/>
  <c r="D18" i="11"/>
  <c r="E18" i="11" s="1"/>
  <c r="D17" i="11"/>
  <c r="E17" i="11" s="1"/>
  <c r="D16" i="11"/>
  <c r="E16" i="11" s="1"/>
  <c r="D15" i="11"/>
  <c r="E15" i="11" s="1"/>
  <c r="D14" i="11"/>
  <c r="E14" i="11" s="1"/>
  <c r="C13" i="11"/>
  <c r="D13" i="11" s="1"/>
  <c r="E13" i="11" s="1"/>
  <c r="D12" i="11"/>
  <c r="E12" i="11" s="1"/>
  <c r="D11" i="11"/>
  <c r="E11" i="11" s="1"/>
  <c r="D10" i="11"/>
  <c r="E10" i="11" s="1"/>
  <c r="D9" i="11"/>
  <c r="E9" i="11" s="1"/>
  <c r="D8" i="11"/>
  <c r="E8" i="11" s="1"/>
  <c r="D7" i="11"/>
  <c r="E7" i="11" s="1"/>
  <c r="D6" i="11"/>
  <c r="E6" i="11" s="1"/>
  <c r="D5" i="11"/>
  <c r="E5" i="11" s="1"/>
  <c r="C4" i="11"/>
  <c r="D4" i="11" s="1"/>
  <c r="E4" i="11" s="1"/>
  <c r="D3" i="11"/>
  <c r="E3" i="11" s="1"/>
  <c r="C2" i="11"/>
  <c r="D2" i="11" s="1"/>
  <c r="E2" i="11" s="1"/>
  <c r="C32" i="13"/>
  <c r="C55" i="13"/>
  <c r="C67" i="4"/>
  <c r="C9" i="6"/>
  <c r="D13" i="6"/>
  <c r="E13" i="6" s="1"/>
  <c r="B343" i="10"/>
  <c r="B22" i="10"/>
  <c r="C24" i="18" s="1"/>
  <c r="B73" i="5"/>
  <c r="C68" i="5"/>
  <c r="D68" i="5" s="1"/>
  <c r="C67" i="5"/>
  <c r="D67" i="5" s="1"/>
  <c r="D138" i="9"/>
  <c r="E138" i="9" s="1"/>
  <c r="H33" i="18"/>
  <c r="C76" i="11" l="1"/>
  <c r="E28" i="18" s="1"/>
  <c r="D46" i="11"/>
  <c r="E46" i="11" s="1"/>
  <c r="C149" i="11"/>
  <c r="C5" i="18"/>
  <c r="D5" i="19"/>
  <c r="E5" i="19" s="1"/>
  <c r="E6" i="19"/>
  <c r="E7" i="19"/>
  <c r="E8" i="19"/>
  <c r="E9" i="19"/>
  <c r="C10" i="19"/>
  <c r="D10" i="18"/>
  <c r="D20" i="18"/>
  <c r="D21" i="18"/>
  <c r="D23" i="18"/>
  <c r="D32" i="18"/>
  <c r="G3" i="18"/>
  <c r="B31" i="18"/>
  <c r="B28" i="18"/>
  <c r="B25" i="18"/>
  <c r="K32" i="18"/>
  <c r="F32" i="18" s="1"/>
  <c r="K31" i="18"/>
  <c r="F31" i="18" s="1"/>
  <c r="E31" i="18"/>
  <c r="B19" i="18"/>
  <c r="G18" i="18"/>
  <c r="G17" i="18"/>
  <c r="C17" i="18"/>
  <c r="B12" i="18"/>
  <c r="B11" i="18"/>
  <c r="B9" i="18"/>
  <c r="B8" i="18"/>
  <c r="D10" i="19" l="1"/>
  <c r="E10" i="19" s="1"/>
  <c r="H76" i="11"/>
  <c r="D76" i="11"/>
  <c r="E76" i="11" s="1"/>
  <c r="D31" i="18"/>
  <c r="D149" i="11"/>
  <c r="E149" i="11" s="1"/>
  <c r="C155" i="11"/>
  <c r="C33" i="18"/>
  <c r="G33" i="18"/>
  <c r="E3" i="19"/>
  <c r="L38" i="18" l="1"/>
  <c r="K30" i="18"/>
  <c r="F30" i="18" s="1"/>
  <c r="D28" i="18"/>
  <c r="E26" i="18"/>
  <c r="K23" i="18"/>
  <c r="F23" i="18" s="1"/>
  <c r="K22" i="18"/>
  <c r="F22" i="18" s="1"/>
  <c r="K21" i="18"/>
  <c r="F21" i="18" s="1"/>
  <c r="K20" i="18"/>
  <c r="F20" i="18" s="1"/>
  <c r="K19" i="18"/>
  <c r="F19" i="18" s="1"/>
  <c r="K12" i="18"/>
  <c r="F12" i="18" s="1"/>
  <c r="E12" i="18"/>
  <c r="E11" i="18"/>
  <c r="D11" i="18" s="1"/>
  <c r="K10" i="18"/>
  <c r="F10" i="18" s="1"/>
  <c r="K9" i="18"/>
  <c r="F9" i="18" s="1"/>
  <c r="C27" i="16"/>
  <c r="E27" i="16" s="1"/>
  <c r="D25" i="16"/>
  <c r="C24" i="16"/>
  <c r="E24" i="16" s="1"/>
  <c r="D17" i="16"/>
  <c r="E17" i="16" s="1"/>
  <c r="E16" i="16"/>
  <c r="D9" i="16"/>
  <c r="E9" i="16" s="1"/>
  <c r="D8" i="16"/>
  <c r="E8" i="16" s="1"/>
  <c r="C4" i="16"/>
  <c r="E4" i="16" s="1"/>
  <c r="D3" i="16"/>
  <c r="E3" i="16" s="1"/>
  <c r="E32" i="16"/>
  <c r="E31" i="16"/>
  <c r="E30" i="16"/>
  <c r="E29" i="16"/>
  <c r="E28" i="16"/>
  <c r="E26" i="16"/>
  <c r="E25" i="16"/>
  <c r="E23" i="16"/>
  <c r="E22" i="16"/>
  <c r="E21" i="16"/>
  <c r="E20" i="16"/>
  <c r="E15" i="16"/>
  <c r="E14" i="16"/>
  <c r="E12" i="16"/>
  <c r="E11" i="16"/>
  <c r="E10" i="16"/>
  <c r="E7" i="16"/>
  <c r="E6" i="16"/>
  <c r="E5" i="16"/>
  <c r="K14" i="18"/>
  <c r="F14" i="18" s="1"/>
  <c r="C66" i="8"/>
  <c r="C72" i="12"/>
  <c r="D19" i="16" s="1"/>
  <c r="E19" i="16" s="1"/>
  <c r="C95" i="13"/>
  <c r="C98" i="13"/>
  <c r="K25" i="18" s="1"/>
  <c r="F25" i="18" s="1"/>
  <c r="C271" i="3"/>
  <c r="C375" i="3"/>
  <c r="C63" i="8"/>
  <c r="C79" i="7"/>
  <c r="C60" i="9"/>
  <c r="D13" i="16" s="1"/>
  <c r="E13" i="16" s="1"/>
  <c r="C131" i="4"/>
  <c r="D18" i="16" s="1"/>
  <c r="E18" i="16" s="1"/>
  <c r="C37" i="8"/>
  <c r="C45" i="9"/>
  <c r="C40" i="9" s="1"/>
  <c r="C72" i="13"/>
  <c r="C64" i="6"/>
  <c r="C43" i="6"/>
  <c r="C42" i="6"/>
  <c r="C44" i="14"/>
  <c r="C57" i="12"/>
  <c r="C290" i="9"/>
  <c r="C215" i="9"/>
  <c r="F216" i="9" s="1"/>
  <c r="C31" i="4"/>
  <c r="C4" i="4"/>
  <c r="C120" i="4"/>
  <c r="C121" i="4"/>
  <c r="C123" i="4"/>
  <c r="C73" i="4"/>
  <c r="C137" i="6"/>
  <c r="K5" i="2"/>
  <c r="K8" i="18" l="1"/>
  <c r="F8" i="18" s="1"/>
  <c r="H8" i="28"/>
  <c r="C67" i="8"/>
  <c r="C69" i="8" s="1"/>
  <c r="L29" i="18"/>
  <c r="D29" i="18"/>
  <c r="L21" i="18"/>
  <c r="L26" i="18"/>
  <c r="D26" i="18"/>
  <c r="L12" i="18"/>
  <c r="D12" i="18"/>
  <c r="L32" i="18"/>
  <c r="L23" i="18"/>
  <c r="L28" i="18"/>
  <c r="L20" i="18"/>
  <c r="L10" i="18"/>
  <c r="L31" i="18"/>
  <c r="C33" i="16"/>
  <c r="E33" i="16"/>
  <c r="E35" i="16" s="1"/>
  <c r="D33" i="16"/>
  <c r="F8" i="28" l="1"/>
  <c r="I8" i="28"/>
  <c r="B62" i="10"/>
  <c r="E156" i="15"/>
  <c r="E153" i="15"/>
  <c r="D153" i="15"/>
  <c r="C153" i="15"/>
  <c r="E151" i="15"/>
  <c r="D151" i="15"/>
  <c r="C151" i="15"/>
  <c r="D150" i="15"/>
  <c r="E150" i="15" s="1"/>
  <c r="C149" i="15"/>
  <c r="D149" i="15" s="1"/>
  <c r="E148" i="15"/>
  <c r="D146" i="15"/>
  <c r="C146" i="15"/>
  <c r="E145" i="15"/>
  <c r="E144" i="15"/>
  <c r="E143" i="15"/>
  <c r="E142" i="15"/>
  <c r="E141" i="15"/>
  <c r="E146" i="15" s="1"/>
  <c r="D138" i="15"/>
  <c r="E138" i="15" s="1"/>
  <c r="D137" i="15"/>
  <c r="E137" i="15" s="1"/>
  <c r="D136" i="15"/>
  <c r="E136" i="15" s="1"/>
  <c r="D135" i="15"/>
  <c r="E135" i="15" s="1"/>
  <c r="D134" i="15"/>
  <c r="E134" i="15" s="1"/>
  <c r="C133" i="15"/>
  <c r="D133" i="15" s="1"/>
  <c r="E133" i="15" s="1"/>
  <c r="D132" i="15"/>
  <c r="E132" i="15" s="1"/>
  <c r="C131" i="15"/>
  <c r="D131" i="15" s="1"/>
  <c r="E131" i="15" s="1"/>
  <c r="D130" i="15"/>
  <c r="E130" i="15" s="1"/>
  <c r="D129" i="15"/>
  <c r="E129" i="15" s="1"/>
  <c r="C128" i="15"/>
  <c r="D128" i="15" s="1"/>
  <c r="E128" i="15" s="1"/>
  <c r="D127" i="15"/>
  <c r="E127" i="15" s="1"/>
  <c r="D126" i="15"/>
  <c r="E126" i="15" s="1"/>
  <c r="D125" i="15"/>
  <c r="E125" i="15" s="1"/>
  <c r="E124" i="15"/>
  <c r="D124" i="15"/>
  <c r="D123" i="15"/>
  <c r="E123" i="15" s="1"/>
  <c r="D122" i="15"/>
  <c r="E122" i="15" s="1"/>
  <c r="C121" i="15"/>
  <c r="D121" i="15" s="1"/>
  <c r="E121" i="15" s="1"/>
  <c r="D120" i="15"/>
  <c r="E120" i="15" s="1"/>
  <c r="C119" i="15"/>
  <c r="D119" i="15" s="1"/>
  <c r="E119" i="15" s="1"/>
  <c r="D118" i="15"/>
  <c r="E118" i="15" s="1"/>
  <c r="E117" i="15"/>
  <c r="D117" i="15"/>
  <c r="C116" i="15"/>
  <c r="D116" i="15" s="1"/>
  <c r="E116" i="15" s="1"/>
  <c r="D115" i="15"/>
  <c r="E115" i="15" s="1"/>
  <c r="C114" i="15"/>
  <c r="D114" i="15" s="1"/>
  <c r="E114" i="15" s="1"/>
  <c r="D113" i="15"/>
  <c r="E113" i="15" s="1"/>
  <c r="D112" i="15"/>
  <c r="E112" i="15" s="1"/>
  <c r="D111" i="15"/>
  <c r="E111" i="15" s="1"/>
  <c r="E110" i="15"/>
  <c r="D110" i="15"/>
  <c r="D109" i="15"/>
  <c r="E109" i="15" s="1"/>
  <c r="D108" i="15"/>
  <c r="E108" i="15" s="1"/>
  <c r="C107" i="15"/>
  <c r="D107" i="15" s="1"/>
  <c r="E107" i="15" s="1"/>
  <c r="D106" i="15"/>
  <c r="E106" i="15" s="1"/>
  <c r="D105" i="15"/>
  <c r="E105" i="15" s="1"/>
  <c r="C104" i="15"/>
  <c r="D104" i="15" s="1"/>
  <c r="E104" i="15" s="1"/>
  <c r="E103" i="15"/>
  <c r="D103" i="15"/>
  <c r="D102" i="15"/>
  <c r="E102" i="15" s="1"/>
  <c r="D101" i="15"/>
  <c r="E101" i="15" s="1"/>
  <c r="D100" i="15"/>
  <c r="E100" i="15" s="1"/>
  <c r="D99" i="15"/>
  <c r="E99" i="15" s="1"/>
  <c r="D98" i="15"/>
  <c r="E98" i="15" s="1"/>
  <c r="D97" i="15"/>
  <c r="E97" i="15" s="1"/>
  <c r="D96" i="15"/>
  <c r="E96" i="15" s="1"/>
  <c r="E95" i="15"/>
  <c r="D95" i="15"/>
  <c r="D94" i="15"/>
  <c r="E94" i="15" s="1"/>
  <c r="D93" i="15"/>
  <c r="E93" i="15" s="1"/>
  <c r="C92" i="15"/>
  <c r="D92" i="15" s="1"/>
  <c r="E92" i="15" s="1"/>
  <c r="D91" i="15"/>
  <c r="E91" i="15" s="1"/>
  <c r="D90" i="15"/>
  <c r="E90" i="15" s="1"/>
  <c r="C89" i="15"/>
  <c r="D89" i="15" s="1"/>
  <c r="E89" i="15" s="1"/>
  <c r="E88" i="15"/>
  <c r="D88" i="15"/>
  <c r="D87" i="15"/>
  <c r="E87" i="15" s="1"/>
  <c r="D86" i="15"/>
  <c r="E86" i="15" s="1"/>
  <c r="D85" i="15"/>
  <c r="E85" i="15" s="1"/>
  <c r="C84" i="15"/>
  <c r="D84" i="15" s="1"/>
  <c r="E84" i="15" s="1"/>
  <c r="D83" i="15"/>
  <c r="E83" i="15" s="1"/>
  <c r="D82" i="15"/>
  <c r="E82" i="15" s="1"/>
  <c r="E81" i="15"/>
  <c r="D81" i="15"/>
  <c r="D80" i="15"/>
  <c r="E80" i="15" s="1"/>
  <c r="D79" i="15"/>
  <c r="E79" i="15" s="1"/>
  <c r="D78" i="15"/>
  <c r="E78" i="15" s="1"/>
  <c r="D77" i="15"/>
  <c r="E77" i="15" s="1"/>
  <c r="C76" i="15"/>
  <c r="D76" i="15" s="1"/>
  <c r="E76" i="15" s="1"/>
  <c r="D75" i="15"/>
  <c r="E75" i="15" s="1"/>
  <c r="D74" i="15"/>
  <c r="E74" i="15" s="1"/>
  <c r="E73" i="15"/>
  <c r="D73" i="15"/>
  <c r="C72" i="15"/>
  <c r="D72" i="15" s="1"/>
  <c r="E72" i="15" s="1"/>
  <c r="D71" i="15"/>
  <c r="E71" i="15" s="1"/>
  <c r="D70" i="15"/>
  <c r="E70" i="15" s="1"/>
  <c r="D69" i="15"/>
  <c r="E69" i="15" s="1"/>
  <c r="D68" i="15"/>
  <c r="E68" i="15" s="1"/>
  <c r="C67" i="15"/>
  <c r="D67" i="15" s="1"/>
  <c r="E67" i="15" s="1"/>
  <c r="E66" i="15"/>
  <c r="D66" i="15"/>
  <c r="D65" i="15"/>
  <c r="E65" i="15" s="1"/>
  <c r="D64" i="15"/>
  <c r="E64" i="15" s="1"/>
  <c r="D63" i="15"/>
  <c r="E63" i="15" s="1"/>
  <c r="D62" i="15"/>
  <c r="D61" i="15"/>
  <c r="E61" i="15" s="1"/>
  <c r="D60" i="15"/>
  <c r="E60" i="15" s="1"/>
  <c r="D59" i="15"/>
  <c r="E59" i="15" s="1"/>
  <c r="E58" i="15"/>
  <c r="D58" i="15"/>
  <c r="C57" i="15"/>
  <c r="D57" i="15" s="1"/>
  <c r="E57" i="15" s="1"/>
  <c r="D56" i="15"/>
  <c r="E56" i="15" s="1"/>
  <c r="D55" i="15"/>
  <c r="E55" i="15" s="1"/>
  <c r="D54" i="15"/>
  <c r="E54" i="15" s="1"/>
  <c r="D53" i="15"/>
  <c r="E53" i="15" s="1"/>
  <c r="D52" i="15"/>
  <c r="E52" i="15" s="1"/>
  <c r="D51" i="15"/>
  <c r="E51" i="15" s="1"/>
  <c r="C51" i="15"/>
  <c r="D50" i="15"/>
  <c r="E50" i="15" s="1"/>
  <c r="D49" i="15"/>
  <c r="E49" i="15" s="1"/>
  <c r="D48" i="15"/>
  <c r="E48" i="15" s="1"/>
  <c r="D47" i="15"/>
  <c r="E47" i="15" s="1"/>
  <c r="C46" i="15"/>
  <c r="D46" i="15" s="1"/>
  <c r="E46" i="15" s="1"/>
  <c r="D45" i="15"/>
  <c r="E45" i="15" s="1"/>
  <c r="D44" i="15"/>
  <c r="E44" i="15" s="1"/>
  <c r="E43" i="15"/>
  <c r="D43" i="15"/>
  <c r="D42" i="15"/>
  <c r="E42" i="15" s="1"/>
  <c r="D41" i="15"/>
  <c r="E41" i="15" s="1"/>
  <c r="D40" i="15"/>
  <c r="E40" i="15" s="1"/>
  <c r="D39" i="15"/>
  <c r="E39" i="15" s="1"/>
  <c r="C38" i="15"/>
  <c r="D38" i="15" s="1"/>
  <c r="E38" i="15" s="1"/>
  <c r="D37" i="15"/>
  <c r="E37" i="15" s="1"/>
  <c r="E36" i="15"/>
  <c r="D36" i="15"/>
  <c r="D35" i="15"/>
  <c r="E35" i="15" s="1"/>
  <c r="D34" i="15"/>
  <c r="E34" i="15" s="1"/>
  <c r="C33" i="15"/>
  <c r="D33" i="15" s="1"/>
  <c r="E33" i="15" s="1"/>
  <c r="D32" i="15"/>
  <c r="E32" i="15" s="1"/>
  <c r="D31" i="15"/>
  <c r="E31" i="15" s="1"/>
  <c r="D30" i="15"/>
  <c r="E30" i="15" s="1"/>
  <c r="D29" i="15"/>
  <c r="E29" i="15" s="1"/>
  <c r="C29" i="15"/>
  <c r="D28" i="15"/>
  <c r="E28" i="15" s="1"/>
  <c r="D27" i="15"/>
  <c r="E27" i="15" s="1"/>
  <c r="D26" i="15"/>
  <c r="E26" i="15" s="1"/>
  <c r="C25" i="15"/>
  <c r="D25" i="15" s="1"/>
  <c r="E25" i="15" s="1"/>
  <c r="D24" i="15"/>
  <c r="E24" i="15" s="1"/>
  <c r="C23" i="15"/>
  <c r="D23" i="15" s="1"/>
  <c r="E23" i="15" s="1"/>
  <c r="E22" i="15"/>
  <c r="D22" i="15"/>
  <c r="D21" i="15"/>
  <c r="E21" i="15" s="1"/>
  <c r="D20" i="15"/>
  <c r="E20" i="15" s="1"/>
  <c r="D19" i="15"/>
  <c r="E19" i="15" s="1"/>
  <c r="D18" i="15"/>
  <c r="E18" i="15" s="1"/>
  <c r="D17" i="15"/>
  <c r="E17" i="15" s="1"/>
  <c r="D16" i="15"/>
  <c r="E16" i="15" s="1"/>
  <c r="D15" i="15"/>
  <c r="E15" i="15" s="1"/>
  <c r="E14" i="15"/>
  <c r="D14" i="15"/>
  <c r="D13" i="15"/>
  <c r="E13" i="15" s="1"/>
  <c r="D12" i="15"/>
  <c r="E12" i="15" s="1"/>
  <c r="D11" i="15"/>
  <c r="E11" i="15" s="1"/>
  <c r="C10" i="15"/>
  <c r="D10" i="15" s="1"/>
  <c r="E10" i="15" s="1"/>
  <c r="D9" i="15"/>
  <c r="E9" i="15" s="1"/>
  <c r="D8" i="15"/>
  <c r="E8" i="15" s="1"/>
  <c r="D7" i="15"/>
  <c r="E7" i="15" s="1"/>
  <c r="C6" i="15"/>
  <c r="D6" i="15" s="1"/>
  <c r="E6" i="15" s="1"/>
  <c r="D5" i="15"/>
  <c r="E5" i="15" s="1"/>
  <c r="C4" i="15"/>
  <c r="C139" i="15" s="1"/>
  <c r="D155" i="15" l="1"/>
  <c r="E149" i="15"/>
  <c r="E155" i="15" s="1"/>
  <c r="D139" i="15"/>
  <c r="C147" i="15"/>
  <c r="C157" i="15" s="1"/>
  <c r="C158" i="15" s="1"/>
  <c r="C160" i="15" s="1"/>
  <c r="D4" i="15"/>
  <c r="E4" i="15" s="1"/>
  <c r="D147" i="15" l="1"/>
  <c r="D157" i="15" s="1"/>
  <c r="D158" i="15" s="1"/>
  <c r="D160" i="15" s="1"/>
  <c r="E139" i="15"/>
  <c r="E147" i="15" s="1"/>
  <c r="E157" i="15" s="1"/>
  <c r="E158" i="15" s="1"/>
  <c r="E160" i="15" s="1"/>
  <c r="C451" i="10" l="1"/>
  <c r="C450" i="10"/>
  <c r="D450" i="10" s="1"/>
  <c r="B449" i="10"/>
  <c r="C448" i="10"/>
  <c r="D448" i="10" s="1"/>
  <c r="D447" i="10" s="1"/>
  <c r="C447" i="10"/>
  <c r="B447" i="10"/>
  <c r="C446" i="10"/>
  <c r="D446" i="10" s="1"/>
  <c r="D445" i="10"/>
  <c r="C445" i="10"/>
  <c r="B445" i="10"/>
  <c r="C444" i="10"/>
  <c r="D444" i="10" s="1"/>
  <c r="D443" i="10" s="1"/>
  <c r="C443" i="10"/>
  <c r="B443" i="10"/>
  <c r="C442" i="10"/>
  <c r="D442" i="10" s="1"/>
  <c r="C441" i="10"/>
  <c r="D441" i="10" s="1"/>
  <c r="D440" i="10"/>
  <c r="C440" i="10"/>
  <c r="B440" i="10"/>
  <c r="C439" i="10"/>
  <c r="D439" i="10" s="1"/>
  <c r="C438" i="10"/>
  <c r="B437" i="10"/>
  <c r="C436" i="10"/>
  <c r="D436" i="10" s="1"/>
  <c r="C435" i="10"/>
  <c r="D435" i="10" s="1"/>
  <c r="C434" i="10"/>
  <c r="D434" i="10" s="1"/>
  <c r="C432" i="10"/>
  <c r="D432" i="10" s="1"/>
  <c r="C431" i="10"/>
  <c r="D431" i="10" s="1"/>
  <c r="D430" i="10" s="1"/>
  <c r="B430" i="10"/>
  <c r="C429" i="10"/>
  <c r="D429" i="10" s="1"/>
  <c r="C428" i="10"/>
  <c r="C427" i="10" s="1"/>
  <c r="B427" i="10"/>
  <c r="C426" i="10"/>
  <c r="D426" i="10" s="1"/>
  <c r="C425" i="10"/>
  <c r="D425" i="10" s="1"/>
  <c r="C424" i="10"/>
  <c r="D424" i="10" s="1"/>
  <c r="C423" i="10"/>
  <c r="D423" i="10" s="1"/>
  <c r="D422" i="10" s="1"/>
  <c r="B422" i="10"/>
  <c r="C421" i="10"/>
  <c r="C420" i="10" s="1"/>
  <c r="B420" i="10"/>
  <c r="C419" i="10"/>
  <c r="D419" i="10" s="1"/>
  <c r="C418" i="10"/>
  <c r="D418" i="10" s="1"/>
  <c r="C417" i="10"/>
  <c r="B417" i="10"/>
  <c r="C412" i="10"/>
  <c r="C411" i="10"/>
  <c r="D411" i="10" s="1"/>
  <c r="C410" i="10"/>
  <c r="D410" i="10" s="1"/>
  <c r="B409" i="10"/>
  <c r="C408" i="10"/>
  <c r="D408" i="10" s="1"/>
  <c r="D407" i="10" s="1"/>
  <c r="C407" i="10"/>
  <c r="B407" i="10"/>
  <c r="C406" i="10"/>
  <c r="D406" i="10" s="1"/>
  <c r="C405" i="10"/>
  <c r="B404" i="10"/>
  <c r="C403" i="10"/>
  <c r="D403" i="10" s="1"/>
  <c r="D402" i="10" s="1"/>
  <c r="B402" i="10"/>
  <c r="C401" i="10"/>
  <c r="D401" i="10" s="1"/>
  <c r="C400" i="10"/>
  <c r="D400" i="10" s="1"/>
  <c r="D399" i="10" s="1"/>
  <c r="C399" i="10"/>
  <c r="B399" i="10"/>
  <c r="C398" i="10"/>
  <c r="C397" i="10"/>
  <c r="D397" i="10" s="1"/>
  <c r="B396" i="10"/>
  <c r="C395" i="10"/>
  <c r="D395" i="10" s="1"/>
  <c r="C394" i="10"/>
  <c r="D394" i="10" s="1"/>
  <c r="C393" i="10"/>
  <c r="D393" i="10" s="1"/>
  <c r="C391" i="10"/>
  <c r="D391" i="10" s="1"/>
  <c r="D390" i="10"/>
  <c r="C390" i="10"/>
  <c r="B389" i="10"/>
  <c r="C388" i="10"/>
  <c r="C387" i="10"/>
  <c r="D387" i="10" s="1"/>
  <c r="B386" i="10"/>
  <c r="C385" i="10"/>
  <c r="D385" i="10" s="1"/>
  <c r="C384" i="10"/>
  <c r="D384" i="10" s="1"/>
  <c r="C383" i="10"/>
  <c r="D383" i="10" s="1"/>
  <c r="C382" i="10"/>
  <c r="D382" i="10" s="1"/>
  <c r="C381" i="10"/>
  <c r="D381" i="10" s="1"/>
  <c r="B380" i="10"/>
  <c r="C379" i="10"/>
  <c r="D379" i="10" s="1"/>
  <c r="D378" i="10" s="1"/>
  <c r="C378" i="10"/>
  <c r="B378" i="10"/>
  <c r="C377" i="10"/>
  <c r="C376" i="10"/>
  <c r="D376" i="10" s="1"/>
  <c r="B375" i="10"/>
  <c r="C370" i="10"/>
  <c r="C369" i="10"/>
  <c r="D369" i="10" s="1"/>
  <c r="B368" i="10"/>
  <c r="C367" i="10"/>
  <c r="C364" i="10" s="1"/>
  <c r="C366" i="10"/>
  <c r="D366" i="10" s="1"/>
  <c r="C365" i="10"/>
  <c r="D365" i="10" s="1"/>
  <c r="B364" i="10"/>
  <c r="C363" i="10"/>
  <c r="D363" i="10" s="1"/>
  <c r="D362" i="10" s="1"/>
  <c r="B362" i="10"/>
  <c r="C361" i="10"/>
  <c r="D361" i="10" s="1"/>
  <c r="C360" i="10"/>
  <c r="D360" i="10" s="1"/>
  <c r="C359" i="10"/>
  <c r="D359" i="10" s="1"/>
  <c r="C358" i="10"/>
  <c r="B358" i="10"/>
  <c r="C357" i="10"/>
  <c r="D357" i="10" s="1"/>
  <c r="C356" i="10"/>
  <c r="C355" i="10" s="1"/>
  <c r="B355" i="10"/>
  <c r="C354" i="10"/>
  <c r="D354" i="10" s="1"/>
  <c r="C353" i="10"/>
  <c r="D353" i="10" s="1"/>
  <c r="C352" i="10"/>
  <c r="D352" i="10" s="1"/>
  <c r="C350" i="10"/>
  <c r="D350" i="10" s="1"/>
  <c r="C349" i="10"/>
  <c r="D349" i="10" s="1"/>
  <c r="C348" i="10"/>
  <c r="B348" i="10"/>
  <c r="C347" i="10"/>
  <c r="D347" i="10" s="1"/>
  <c r="C346" i="10"/>
  <c r="C345" i="10" s="1"/>
  <c r="B345" i="10"/>
  <c r="C344" i="10"/>
  <c r="D344" i="10" s="1"/>
  <c r="C343" i="10"/>
  <c r="D343" i="10" s="1"/>
  <c r="C342" i="10"/>
  <c r="D342" i="10" s="1"/>
  <c r="B341" i="10"/>
  <c r="C340" i="10"/>
  <c r="D340" i="10" s="1"/>
  <c r="C339" i="10"/>
  <c r="D339" i="10" s="1"/>
  <c r="D338" i="10"/>
  <c r="C338" i="10"/>
  <c r="B338" i="10"/>
  <c r="C331" i="10"/>
  <c r="C330" i="10" s="1"/>
  <c r="B330" i="10"/>
  <c r="C329" i="10"/>
  <c r="D329" i="10" s="1"/>
  <c r="D328" i="10"/>
  <c r="C328" i="10"/>
  <c r="B328" i="10"/>
  <c r="C327" i="10"/>
  <c r="C325" i="10" s="1"/>
  <c r="C326" i="10"/>
  <c r="D326" i="10" s="1"/>
  <c r="B325" i="10"/>
  <c r="C324" i="10"/>
  <c r="D324" i="10" s="1"/>
  <c r="C323" i="10"/>
  <c r="C322" i="10" s="1"/>
  <c r="B322" i="10"/>
  <c r="C321" i="10"/>
  <c r="D321" i="10" s="1"/>
  <c r="D320" i="10"/>
  <c r="C320" i="10"/>
  <c r="B320" i="10"/>
  <c r="C319" i="10"/>
  <c r="D319" i="10" s="1"/>
  <c r="C318" i="10"/>
  <c r="D318" i="10" s="1"/>
  <c r="B317" i="10"/>
  <c r="C316" i="10"/>
  <c r="C315" i="10" s="1"/>
  <c r="B315" i="10"/>
  <c r="C308" i="10"/>
  <c r="D308" i="10" s="1"/>
  <c r="C307" i="10"/>
  <c r="D307" i="10" s="1"/>
  <c r="B306" i="10"/>
  <c r="C305" i="10"/>
  <c r="D305" i="10" s="1"/>
  <c r="D304" i="10" s="1"/>
  <c r="C304" i="10"/>
  <c r="B304" i="10"/>
  <c r="C303" i="10"/>
  <c r="C302" i="10" s="1"/>
  <c r="B302" i="10"/>
  <c r="C301" i="10"/>
  <c r="B300" i="10"/>
  <c r="C299" i="10"/>
  <c r="D299" i="10" s="1"/>
  <c r="C298" i="10"/>
  <c r="D298" i="10" s="1"/>
  <c r="C297" i="10"/>
  <c r="B296" i="10"/>
  <c r="C295" i="10"/>
  <c r="D295" i="10" s="1"/>
  <c r="C294" i="10"/>
  <c r="D294" i="10" s="1"/>
  <c r="B293" i="10"/>
  <c r="C292" i="10"/>
  <c r="D292" i="10" s="1"/>
  <c r="C291" i="10"/>
  <c r="D291" i="10" s="1"/>
  <c r="C290" i="10"/>
  <c r="C289" i="10"/>
  <c r="D289" i="10" s="1"/>
  <c r="C288" i="10"/>
  <c r="D288" i="10" s="1"/>
  <c r="C287" i="10"/>
  <c r="D287" i="10" s="1"/>
  <c r="B286" i="10"/>
  <c r="C285" i="10"/>
  <c r="D285" i="10" s="1"/>
  <c r="C284" i="10"/>
  <c r="D284" i="10" s="1"/>
  <c r="D283" i="10" s="1"/>
  <c r="C283" i="10"/>
  <c r="B283" i="10"/>
  <c r="D282" i="10"/>
  <c r="C282" i="10"/>
  <c r="C281" i="10"/>
  <c r="C280" i="10" s="1"/>
  <c r="B280" i="10"/>
  <c r="C279" i="10"/>
  <c r="D279" i="10" s="1"/>
  <c r="B278" i="10"/>
  <c r="C277" i="10"/>
  <c r="D277" i="10" s="1"/>
  <c r="C276" i="10"/>
  <c r="C274" i="10"/>
  <c r="C273" i="10"/>
  <c r="D273" i="10" s="1"/>
  <c r="B272" i="10"/>
  <c r="C271" i="10"/>
  <c r="D271" i="10" s="1"/>
  <c r="C270" i="10"/>
  <c r="D270" i="10" s="1"/>
  <c r="C269" i="10"/>
  <c r="B269" i="10"/>
  <c r="C260" i="10"/>
  <c r="D260" i="10" s="1"/>
  <c r="C259" i="10"/>
  <c r="D259" i="10" s="1"/>
  <c r="D258" i="10"/>
  <c r="C258" i="10"/>
  <c r="B258" i="10"/>
  <c r="C257" i="10"/>
  <c r="D257" i="10" s="1"/>
  <c r="D256" i="10" s="1"/>
  <c r="C256" i="10"/>
  <c r="B256" i="10"/>
  <c r="C255" i="10"/>
  <c r="D255" i="10" s="1"/>
  <c r="C254" i="10"/>
  <c r="D254" i="10" s="1"/>
  <c r="D253" i="10" s="1"/>
  <c r="C253" i="10"/>
  <c r="B253" i="10"/>
  <c r="C252" i="10"/>
  <c r="D252" i="10" s="1"/>
  <c r="C251" i="10"/>
  <c r="D251" i="10" s="1"/>
  <c r="C250" i="10"/>
  <c r="D250" i="10" s="1"/>
  <c r="C249" i="10"/>
  <c r="C248" i="10"/>
  <c r="D248" i="10" s="1"/>
  <c r="B247" i="10"/>
  <c r="C246" i="10"/>
  <c r="C245" i="10" s="1"/>
  <c r="B245" i="10"/>
  <c r="C244" i="10"/>
  <c r="D244" i="10" s="1"/>
  <c r="C243" i="10"/>
  <c r="D243" i="10" s="1"/>
  <c r="D242" i="10" s="1"/>
  <c r="C242" i="10"/>
  <c r="B242" i="10"/>
  <c r="C241" i="10"/>
  <c r="C240" i="10"/>
  <c r="D240" i="10" s="1"/>
  <c r="B239" i="10"/>
  <c r="C230" i="10"/>
  <c r="D230" i="10" s="1"/>
  <c r="D229" i="10" s="1"/>
  <c r="C229" i="10"/>
  <c r="B229" i="10"/>
  <c r="B231" i="10" s="1"/>
  <c r="C228" i="10"/>
  <c r="D228" i="10" s="1"/>
  <c r="C227" i="10"/>
  <c r="D227" i="10" s="1"/>
  <c r="C226" i="10"/>
  <c r="D226" i="10" s="1"/>
  <c r="B225" i="10"/>
  <c r="C224" i="10"/>
  <c r="D224" i="10" s="1"/>
  <c r="C223" i="10"/>
  <c r="D223" i="10" s="1"/>
  <c r="D222" i="10"/>
  <c r="C222" i="10"/>
  <c r="B222" i="10"/>
  <c r="C221" i="10"/>
  <c r="D221" i="10" s="1"/>
  <c r="C220" i="10"/>
  <c r="C219" i="10" s="1"/>
  <c r="B219" i="10"/>
  <c r="C218" i="10"/>
  <c r="D218" i="10" s="1"/>
  <c r="C217" i="10"/>
  <c r="C216" i="10" s="1"/>
  <c r="B216" i="10"/>
  <c r="C215" i="10"/>
  <c r="D215" i="10" s="1"/>
  <c r="C214" i="10"/>
  <c r="D214" i="10" s="1"/>
  <c r="C213" i="10"/>
  <c r="D213" i="10" s="1"/>
  <c r="C212" i="10"/>
  <c r="D212" i="10" s="1"/>
  <c r="C211" i="10"/>
  <c r="D211" i="10" s="1"/>
  <c r="C210" i="10"/>
  <c r="B210" i="10"/>
  <c r="C209" i="10"/>
  <c r="D209" i="10" s="1"/>
  <c r="C208" i="10"/>
  <c r="D208" i="10" s="1"/>
  <c r="C207" i="10"/>
  <c r="D207" i="10" s="1"/>
  <c r="B206" i="10"/>
  <c r="C205" i="10"/>
  <c r="C203" i="10" s="1"/>
  <c r="C204" i="10"/>
  <c r="D204" i="10" s="1"/>
  <c r="B203" i="10"/>
  <c r="C194" i="10"/>
  <c r="D194" i="10" s="1"/>
  <c r="C193" i="10"/>
  <c r="C192" i="10" s="1"/>
  <c r="B192" i="10"/>
  <c r="C191" i="10"/>
  <c r="D191" i="10" s="1"/>
  <c r="C190" i="10"/>
  <c r="D190" i="10" s="1"/>
  <c r="B189" i="10"/>
  <c r="C188" i="10"/>
  <c r="D188" i="10" s="1"/>
  <c r="D187" i="10"/>
  <c r="C187" i="10"/>
  <c r="B187" i="10"/>
  <c r="D186" i="10"/>
  <c r="D185" i="10" s="1"/>
  <c r="C186" i="10"/>
  <c r="C185" i="10"/>
  <c r="B185" i="10"/>
  <c r="C184" i="10"/>
  <c r="D184" i="10" s="1"/>
  <c r="B183" i="10"/>
  <c r="C183" i="10" s="1"/>
  <c r="D183" i="10" s="1"/>
  <c r="C182" i="10"/>
  <c r="D182" i="10" s="1"/>
  <c r="C181" i="10"/>
  <c r="D181" i="10" s="1"/>
  <c r="D180" i="10"/>
  <c r="C180" i="10"/>
  <c r="B180" i="10"/>
  <c r="C179" i="10"/>
  <c r="D179" i="10" s="1"/>
  <c r="C178" i="10"/>
  <c r="D178" i="10" s="1"/>
  <c r="C177" i="10"/>
  <c r="D177" i="10" s="1"/>
  <c r="C176" i="10"/>
  <c r="D176" i="10" s="1"/>
  <c r="C175" i="10"/>
  <c r="C174" i="10" s="1"/>
  <c r="B174" i="10"/>
  <c r="C173" i="10"/>
  <c r="B172" i="10"/>
  <c r="B171" i="10"/>
  <c r="C171" i="10" s="1"/>
  <c r="C170" i="10"/>
  <c r="D170" i="10" s="1"/>
  <c r="C169" i="10"/>
  <c r="D169" i="10" s="1"/>
  <c r="B168" i="10"/>
  <c r="C167" i="10"/>
  <c r="D167" i="10" s="1"/>
  <c r="D166" i="10" s="1"/>
  <c r="C166" i="10"/>
  <c r="B166" i="10"/>
  <c r="C157" i="10"/>
  <c r="D157" i="10" s="1"/>
  <c r="C156" i="10"/>
  <c r="C155" i="10" s="1"/>
  <c r="B155" i="10"/>
  <c r="C154" i="10"/>
  <c r="D154" i="10" s="1"/>
  <c r="D153" i="10"/>
  <c r="C153" i="10"/>
  <c r="B153" i="10"/>
  <c r="C152" i="10"/>
  <c r="D152" i="10" s="1"/>
  <c r="C151" i="10"/>
  <c r="D151" i="10" s="1"/>
  <c r="D150" i="10"/>
  <c r="C150" i="10"/>
  <c r="B150" i="10"/>
  <c r="C149" i="10"/>
  <c r="D149" i="10" s="1"/>
  <c r="C148" i="10"/>
  <c r="D148" i="10" s="1"/>
  <c r="C147" i="10"/>
  <c r="D147" i="10" s="1"/>
  <c r="C146" i="10"/>
  <c r="D146" i="10" s="1"/>
  <c r="C145" i="10"/>
  <c r="B144" i="10"/>
  <c r="C143" i="10"/>
  <c r="D143" i="10" s="1"/>
  <c r="C142" i="10"/>
  <c r="D142" i="10" s="1"/>
  <c r="B142" i="10"/>
  <c r="C141" i="10"/>
  <c r="D141" i="10" s="1"/>
  <c r="C140" i="10"/>
  <c r="D140" i="10" s="1"/>
  <c r="C139" i="10"/>
  <c r="D139" i="10" s="1"/>
  <c r="C138" i="10"/>
  <c r="B138" i="10"/>
  <c r="C137" i="10"/>
  <c r="C136" i="10"/>
  <c r="D136" i="10" s="1"/>
  <c r="B135" i="10"/>
  <c r="C129" i="10"/>
  <c r="D129" i="10" s="1"/>
  <c r="C128" i="10"/>
  <c r="D128" i="10" s="1"/>
  <c r="D127" i="10"/>
  <c r="C127" i="10"/>
  <c r="B127" i="10"/>
  <c r="C126" i="10"/>
  <c r="C125" i="10" s="1"/>
  <c r="B125" i="10"/>
  <c r="C124" i="10"/>
  <c r="D124" i="10" s="1"/>
  <c r="B123" i="10"/>
  <c r="B122" i="10" s="1"/>
  <c r="C121" i="10"/>
  <c r="D121" i="10" s="1"/>
  <c r="C120" i="10"/>
  <c r="D120" i="10" s="1"/>
  <c r="B119" i="10"/>
  <c r="C118" i="10"/>
  <c r="D118" i="10" s="1"/>
  <c r="C117" i="10"/>
  <c r="D117" i="10" s="1"/>
  <c r="C116" i="10"/>
  <c r="D116" i="10" s="1"/>
  <c r="C115" i="10"/>
  <c r="D115" i="10" s="1"/>
  <c r="C114" i="10"/>
  <c r="D114" i="10" s="1"/>
  <c r="C113" i="10"/>
  <c r="B113" i="10"/>
  <c r="C112" i="10"/>
  <c r="C111" i="10" s="1"/>
  <c r="B111" i="10"/>
  <c r="B110" i="10"/>
  <c r="B107" i="10" s="1"/>
  <c r="C109" i="10"/>
  <c r="D109" i="10" s="1"/>
  <c r="C108" i="10"/>
  <c r="C106" i="10"/>
  <c r="D106" i="10" s="1"/>
  <c r="D105" i="10"/>
  <c r="C105" i="10"/>
  <c r="B105" i="10"/>
  <c r="C104" i="10"/>
  <c r="D104" i="10" s="1"/>
  <c r="C103" i="10"/>
  <c r="D103" i="10" s="1"/>
  <c r="D102" i="10" s="1"/>
  <c r="C102" i="10"/>
  <c r="B102" i="10"/>
  <c r="C97" i="10"/>
  <c r="D97" i="10" s="1"/>
  <c r="C96" i="10"/>
  <c r="B95" i="10"/>
  <c r="C94" i="10"/>
  <c r="D94" i="10" s="1"/>
  <c r="D93" i="10"/>
  <c r="B93" i="10"/>
  <c r="C92" i="10"/>
  <c r="D92" i="10" s="1"/>
  <c r="D91" i="10" s="1"/>
  <c r="C91" i="10"/>
  <c r="B91" i="10"/>
  <c r="C90" i="10"/>
  <c r="D90" i="10" s="1"/>
  <c r="D89" i="10" s="1"/>
  <c r="C89" i="10"/>
  <c r="B89" i="10"/>
  <c r="C88" i="10"/>
  <c r="D88" i="10" s="1"/>
  <c r="G87" i="10"/>
  <c r="C87" i="10"/>
  <c r="D87" i="10" s="1"/>
  <c r="D86" i="10" s="1"/>
  <c r="C86" i="10"/>
  <c r="B86" i="10"/>
  <c r="C83" i="10"/>
  <c r="C82" i="10" s="1"/>
  <c r="B82" i="10"/>
  <c r="C81" i="10"/>
  <c r="D81" i="10" s="1"/>
  <c r="C80" i="10"/>
  <c r="C79" i="10" s="1"/>
  <c r="B79" i="10"/>
  <c r="C78" i="10"/>
  <c r="B77" i="10"/>
  <c r="C76" i="10"/>
  <c r="D76" i="10" s="1"/>
  <c r="D75" i="10" s="1"/>
  <c r="C75" i="10"/>
  <c r="B75" i="10"/>
  <c r="C74" i="10"/>
  <c r="D74" i="10" s="1"/>
  <c r="C73" i="10"/>
  <c r="C72" i="10"/>
  <c r="D72" i="10" s="1"/>
  <c r="B71" i="10"/>
  <c r="C70" i="10"/>
  <c r="C69" i="10" s="1"/>
  <c r="B69" i="10"/>
  <c r="C68" i="10"/>
  <c r="D68" i="10" s="1"/>
  <c r="C67" i="10"/>
  <c r="D67" i="10" s="1"/>
  <c r="C66" i="10"/>
  <c r="D66" i="10" s="1"/>
  <c r="C65" i="10"/>
  <c r="D65" i="10" s="1"/>
  <c r="C64" i="10"/>
  <c r="D64" i="10" s="1"/>
  <c r="B63" i="10"/>
  <c r="C62" i="10"/>
  <c r="D62" i="10" s="1"/>
  <c r="D61" i="10" s="1"/>
  <c r="C61" i="10"/>
  <c r="B61" i="10"/>
  <c r="C60" i="10"/>
  <c r="D60" i="10" s="1"/>
  <c r="C59" i="10"/>
  <c r="D59" i="10" s="1"/>
  <c r="B58" i="10"/>
  <c r="C58" i="10" s="1"/>
  <c r="B57" i="10"/>
  <c r="C56" i="10"/>
  <c r="C55" i="10" s="1"/>
  <c r="B55" i="10"/>
  <c r="C54" i="10"/>
  <c r="D54" i="10" s="1"/>
  <c r="C53" i="10"/>
  <c r="C52" i="10" s="1"/>
  <c r="B52" i="10"/>
  <c r="C51" i="10"/>
  <c r="D51" i="10" s="1"/>
  <c r="C50" i="10"/>
  <c r="D50" i="10" s="1"/>
  <c r="C49" i="10"/>
  <c r="D49" i="10" s="1"/>
  <c r="C48" i="10"/>
  <c r="D48" i="10" s="1"/>
  <c r="C47" i="10"/>
  <c r="B46" i="10"/>
  <c r="C45" i="10"/>
  <c r="C44" i="10" s="1"/>
  <c r="B44" i="10"/>
  <c r="C43" i="10"/>
  <c r="C40" i="10" s="1"/>
  <c r="C42" i="10"/>
  <c r="D42" i="10" s="1"/>
  <c r="C41" i="10"/>
  <c r="D41" i="10" s="1"/>
  <c r="B40" i="10"/>
  <c r="C39" i="10"/>
  <c r="D39" i="10" s="1"/>
  <c r="C38" i="10"/>
  <c r="D38" i="10" s="1"/>
  <c r="C37" i="10"/>
  <c r="B36" i="10"/>
  <c r="C35" i="10"/>
  <c r="D35" i="10" s="1"/>
  <c r="C34" i="10"/>
  <c r="D34" i="10" s="1"/>
  <c r="C33" i="10"/>
  <c r="D33" i="10" s="1"/>
  <c r="C32" i="10"/>
  <c r="D32" i="10" s="1"/>
  <c r="D31" i="10" s="1"/>
  <c r="B31" i="10"/>
  <c r="C30" i="10"/>
  <c r="D30" i="10" s="1"/>
  <c r="C29" i="10"/>
  <c r="D29" i="10" s="1"/>
  <c r="C28" i="10"/>
  <c r="B27" i="10"/>
  <c r="C26" i="10"/>
  <c r="D26" i="10" s="1"/>
  <c r="C25" i="10"/>
  <c r="B24" i="10"/>
  <c r="C23" i="10"/>
  <c r="D23" i="10" s="1"/>
  <c r="C22" i="10"/>
  <c r="D22" i="10" s="1"/>
  <c r="C21" i="10"/>
  <c r="D21" i="10" s="1"/>
  <c r="C20" i="10"/>
  <c r="D20" i="10" s="1"/>
  <c r="C19" i="10"/>
  <c r="D19" i="10" s="1"/>
  <c r="C18" i="10"/>
  <c r="D18" i="10" s="1"/>
  <c r="H17" i="10"/>
  <c r="C17" i="10"/>
  <c r="C16" i="10" s="1"/>
  <c r="B16" i="10"/>
  <c r="C15" i="10"/>
  <c r="D15" i="10" s="1"/>
  <c r="C14" i="10"/>
  <c r="C13" i="10"/>
  <c r="D13" i="10" s="1"/>
  <c r="B12" i="10"/>
  <c r="C11" i="10"/>
  <c r="D11" i="10" s="1"/>
  <c r="B10" i="10"/>
  <c r="C10" i="10" s="1"/>
  <c r="D10" i="10" s="1"/>
  <c r="D9" i="10" s="1"/>
  <c r="C9" i="10"/>
  <c r="C8" i="10"/>
  <c r="D8" i="10" s="1"/>
  <c r="C7" i="10"/>
  <c r="B6" i="10"/>
  <c r="C5" i="10"/>
  <c r="D5" i="10" s="1"/>
  <c r="D4" i="10"/>
  <c r="C4" i="10"/>
  <c r="B4" i="10"/>
  <c r="B98" i="10" l="1"/>
  <c r="B454" i="10" s="1"/>
  <c r="F24" i="2" s="1"/>
  <c r="D380" i="10"/>
  <c r="D348" i="10"/>
  <c r="D358" i="10"/>
  <c r="D205" i="10"/>
  <c r="D203" i="10" s="1"/>
  <c r="C71" i="10"/>
  <c r="D421" i="10"/>
  <c r="D420" i="10" s="1"/>
  <c r="D317" i="10"/>
  <c r="C135" i="10"/>
  <c r="C239" i="10"/>
  <c r="D331" i="10"/>
  <c r="D330" i="10" s="1"/>
  <c r="D332" i="10" s="1"/>
  <c r="B452" i="10"/>
  <c r="D137" i="10"/>
  <c r="D135" i="10" s="1"/>
  <c r="C375" i="10"/>
  <c r="C396" i="10"/>
  <c r="D377" i="10"/>
  <c r="D367" i="10"/>
  <c r="D364" i="10" s="1"/>
  <c r="C368" i="10"/>
  <c r="C110" i="10"/>
  <c r="D110" i="10" s="1"/>
  <c r="C293" i="10"/>
  <c r="C306" i="10"/>
  <c r="C341" i="10"/>
  <c r="C389" i="10"/>
  <c r="D43" i="10"/>
  <c r="C371" i="10"/>
  <c r="D206" i="10"/>
  <c r="D370" i="10"/>
  <c r="D368" i="10" s="1"/>
  <c r="B158" i="10"/>
  <c r="B159" i="10" s="1"/>
  <c r="B160" i="10" s="1"/>
  <c r="C160" i="10" s="1"/>
  <c r="D160" i="10" s="1"/>
  <c r="D303" i="10"/>
  <c r="D302" i="10" s="1"/>
  <c r="D138" i="10"/>
  <c r="D210" i="10"/>
  <c r="C386" i="10"/>
  <c r="D428" i="10"/>
  <c r="D427" i="10" s="1"/>
  <c r="D56" i="10"/>
  <c r="D55" i="10" s="1"/>
  <c r="D293" i="10"/>
  <c r="D306" i="10"/>
  <c r="D341" i="10"/>
  <c r="C380" i="10"/>
  <c r="B371" i="10"/>
  <c r="G373" i="10" s="1"/>
  <c r="C362" i="10"/>
  <c r="C317" i="10"/>
  <c r="C332" i="10" s="1"/>
  <c r="D281" i="10"/>
  <c r="D280" i="10" s="1"/>
  <c r="C206" i="10"/>
  <c r="B195" i="10"/>
  <c r="B196" i="10" s="1"/>
  <c r="B197" i="10" s="1"/>
  <c r="G199" i="10" s="1"/>
  <c r="D119" i="10"/>
  <c r="D83" i="10"/>
  <c r="D82" i="10" s="1"/>
  <c r="B261" i="10"/>
  <c r="B262" i="10" s="1"/>
  <c r="B263" i="10" s="1"/>
  <c r="C263" i="10" s="1"/>
  <c r="D263" i="10" s="1"/>
  <c r="C119" i="10"/>
  <c r="B413" i="10"/>
  <c r="G414" i="10" s="1"/>
  <c r="C107" i="10"/>
  <c r="D63" i="10"/>
  <c r="C93" i="10"/>
  <c r="C12" i="10"/>
  <c r="D58" i="10"/>
  <c r="D57" i="10" s="1"/>
  <c r="C57" i="10"/>
  <c r="C123" i="10"/>
  <c r="D193" i="10"/>
  <c r="D192" i="10" s="1"/>
  <c r="B232" i="10"/>
  <c r="G232" i="10"/>
  <c r="D246" i="10"/>
  <c r="D245" i="10" s="1"/>
  <c r="D126" i="10"/>
  <c r="D125" i="10" s="1"/>
  <c r="D388" i="10"/>
  <c r="D386" i="10" s="1"/>
  <c r="B130" i="10"/>
  <c r="B275" i="10"/>
  <c r="B309" i="10" s="1"/>
  <c r="G312" i="10" s="1"/>
  <c r="C278" i="10"/>
  <c r="D278" i="10" s="1"/>
  <c r="D323" i="10"/>
  <c r="D322" i="10" s="1"/>
  <c r="D70" i="10"/>
  <c r="D69" i="10" s="1"/>
  <c r="D80" i="10"/>
  <c r="D79" i="10" s="1"/>
  <c r="C437" i="10"/>
  <c r="D438" i="10"/>
  <c r="D437" i="10" s="1"/>
  <c r="D17" i="10"/>
  <c r="D16" i="10" s="1"/>
  <c r="D241" i="10"/>
  <c r="D239" i="10" s="1"/>
  <c r="C262" i="10"/>
  <c r="D262" i="10" s="1"/>
  <c r="D316" i="10"/>
  <c r="D315" i="10" s="1"/>
  <c r="D346" i="10"/>
  <c r="D345" i="10" s="1"/>
  <c r="D398" i="10"/>
  <c r="D396" i="10" s="1"/>
  <c r="D25" i="10"/>
  <c r="D24" i="10" s="1"/>
  <c r="C24" i="10"/>
  <c r="C6" i="10"/>
  <c r="D7" i="10"/>
  <c r="D6" i="10" s="1"/>
  <c r="D53" i="10"/>
  <c r="D52" i="10" s="1"/>
  <c r="D189" i="10"/>
  <c r="D171" i="10"/>
  <c r="D168" i="10" s="1"/>
  <c r="C168" i="10"/>
  <c r="C195" i="10" s="1"/>
  <c r="D47" i="10"/>
  <c r="D46" i="10" s="1"/>
  <c r="C46" i="10"/>
  <c r="D78" i="10"/>
  <c r="D77" i="10" s="1"/>
  <c r="C77" i="10"/>
  <c r="D249" i="10"/>
  <c r="D247" i="10" s="1"/>
  <c r="C247" i="10"/>
  <c r="C261" i="10" s="1"/>
  <c r="D108" i="10"/>
  <c r="D107" i="10" s="1"/>
  <c r="D73" i="10"/>
  <c r="D71" i="10" s="1"/>
  <c r="C95" i="10"/>
  <c r="D96" i="10"/>
  <c r="D95" i="10" s="1"/>
  <c r="D98" i="10" s="1"/>
  <c r="D454" i="10" s="1"/>
  <c r="C144" i="10"/>
  <c r="D417" i="10"/>
  <c r="D356" i="10"/>
  <c r="D355" i="10" s="1"/>
  <c r="D175" i="10"/>
  <c r="D174" i="10" s="1"/>
  <c r="D276" i="10"/>
  <c r="D14" i="10"/>
  <c r="D12" i="10" s="1"/>
  <c r="G452" i="10"/>
  <c r="D301" i="10"/>
  <c r="D300" i="10" s="1"/>
  <c r="C300" i="10"/>
  <c r="C31" i="10"/>
  <c r="C63" i="10"/>
  <c r="D145" i="10"/>
  <c r="D144" i="10" s="1"/>
  <c r="C172" i="10"/>
  <c r="D173" i="10"/>
  <c r="D172" i="10" s="1"/>
  <c r="D269" i="10"/>
  <c r="D451" i="10"/>
  <c r="D449" i="10" s="1"/>
  <c r="C449" i="10"/>
  <c r="D389" i="10"/>
  <c r="D40" i="10"/>
  <c r="C225" i="10"/>
  <c r="D325" i="10"/>
  <c r="D156" i="10"/>
  <c r="D155" i="10" s="1"/>
  <c r="D225" i="10"/>
  <c r="D231" i="10" s="1"/>
  <c r="D412" i="10"/>
  <c r="D409" i="10" s="1"/>
  <c r="C409" i="10"/>
  <c r="C422" i="10"/>
  <c r="C430" i="10"/>
  <c r="D217" i="10"/>
  <c r="D216" i="10" s="1"/>
  <c r="C296" i="10"/>
  <c r="D327" i="10"/>
  <c r="B9" i="10"/>
  <c r="B84" i="10" s="1"/>
  <c r="D112" i="10"/>
  <c r="D111" i="10" s="1"/>
  <c r="D297" i="10"/>
  <c r="D296" i="10" s="1"/>
  <c r="C402" i="10"/>
  <c r="D113" i="10"/>
  <c r="C286" i="10"/>
  <c r="D45" i="10"/>
  <c r="D44" i="10" s="1"/>
  <c r="D220" i="10"/>
  <c r="D219" i="10" s="1"/>
  <c r="C231" i="10"/>
  <c r="D290" i="10"/>
  <c r="D286" i="10" s="1"/>
  <c r="D405" i="10"/>
  <c r="D404" i="10" s="1"/>
  <c r="C404" i="10"/>
  <c r="C36" i="10"/>
  <c r="D274" i="10"/>
  <c r="D272" i="10" s="1"/>
  <c r="C272" i="10"/>
  <c r="D37" i="10"/>
  <c r="D36" i="10" s="1"/>
  <c r="C189" i="10"/>
  <c r="C27" i="10"/>
  <c r="B332" i="10"/>
  <c r="D28" i="10"/>
  <c r="D27" i="10" s="1"/>
  <c r="D375" i="10"/>
  <c r="K24" i="18" l="1"/>
  <c r="F24" i="18" s="1"/>
  <c r="C452" i="10"/>
  <c r="C159" i="10"/>
  <c r="D159" i="10" s="1"/>
  <c r="C158" i="10"/>
  <c r="F4" i="10"/>
  <c r="F5" i="10" s="1"/>
  <c r="C98" i="10"/>
  <c r="C454" i="10" s="1"/>
  <c r="D452" i="10"/>
  <c r="D371" i="10"/>
  <c r="B24" i="18"/>
  <c r="F412" i="10"/>
  <c r="D84" i="10"/>
  <c r="C84" i="10"/>
  <c r="B453" i="10"/>
  <c r="E24" i="2" s="1"/>
  <c r="D261" i="10"/>
  <c r="G88" i="10"/>
  <c r="G85" i="10"/>
  <c r="C413" i="10"/>
  <c r="D158" i="10"/>
  <c r="G308" i="10"/>
  <c r="G310" i="10"/>
  <c r="D195" i="10"/>
  <c r="C122" i="10"/>
  <c r="C130" i="10" s="1"/>
  <c r="D123" i="10"/>
  <c r="D122" i="10" s="1"/>
  <c r="D130" i="10" s="1"/>
  <c r="D275" i="10"/>
  <c r="D309" i="10" s="1"/>
  <c r="C275" i="10"/>
  <c r="C309" i="10" s="1"/>
  <c r="G131" i="10"/>
  <c r="G132" i="10" s="1"/>
  <c r="G129" i="10"/>
  <c r="D413" i="10"/>
  <c r="C232" i="10"/>
  <c r="D232" i="10" s="1"/>
  <c r="B233" i="10"/>
  <c r="C233" i="10" s="1"/>
  <c r="D233" i="10" s="1"/>
  <c r="E24" i="18" l="1"/>
  <c r="H24" i="2"/>
  <c r="C453" i="10"/>
  <c r="C455" i="10" s="1"/>
  <c r="C457" i="10" s="1"/>
  <c r="B455" i="10"/>
  <c r="B457" i="10" s="1"/>
  <c r="D453" i="10"/>
  <c r="D455" i="10" s="1"/>
  <c r="D457" i="10" s="1"/>
  <c r="L24" i="18" l="1"/>
  <c r="D24" i="18"/>
  <c r="C33" i="2"/>
  <c r="B33" i="2"/>
  <c r="C88" i="13" l="1"/>
  <c r="C120" i="5" l="1"/>
  <c r="D120" i="5" s="1"/>
  <c r="C119" i="5"/>
  <c r="D119" i="5" s="1"/>
  <c r="B117" i="5"/>
  <c r="C116" i="5"/>
  <c r="D116" i="5" s="1"/>
  <c r="B115" i="5"/>
  <c r="C115" i="5" s="1"/>
  <c r="D115" i="5" s="1"/>
  <c r="C114" i="5"/>
  <c r="D114" i="5" s="1"/>
  <c r="B113" i="5"/>
  <c r="C113" i="5" s="1"/>
  <c r="D113" i="5" s="1"/>
  <c r="C112" i="5"/>
  <c r="D112" i="5" s="1"/>
  <c r="C110" i="5"/>
  <c r="D110" i="5" s="1"/>
  <c r="B109" i="5"/>
  <c r="C109" i="5" s="1"/>
  <c r="D109" i="5" s="1"/>
  <c r="C108" i="5"/>
  <c r="D108" i="5" s="1"/>
  <c r="C107" i="5"/>
  <c r="D107" i="5" s="1"/>
  <c r="C106" i="5"/>
  <c r="D106" i="5" s="1"/>
  <c r="B105" i="5"/>
  <c r="C104" i="5"/>
  <c r="D104" i="5" s="1"/>
  <c r="B103" i="5"/>
  <c r="C103" i="5" s="1"/>
  <c r="D103" i="5" s="1"/>
  <c r="C102" i="5"/>
  <c r="D102" i="5" s="1"/>
  <c r="B101" i="5"/>
  <c r="C101" i="5" s="1"/>
  <c r="D101" i="5" s="1"/>
  <c r="C100" i="5"/>
  <c r="D100" i="5" s="1"/>
  <c r="B99" i="5"/>
  <c r="C99" i="5" s="1"/>
  <c r="D99" i="5" s="1"/>
  <c r="C98" i="5"/>
  <c r="D98" i="5" s="1"/>
  <c r="C97" i="5"/>
  <c r="D97" i="5" s="1"/>
  <c r="B96" i="5"/>
  <c r="C96" i="5" s="1"/>
  <c r="D96" i="5" s="1"/>
  <c r="C95" i="5"/>
  <c r="D95" i="5" s="1"/>
  <c r="B94" i="5"/>
  <c r="C94" i="5" s="1"/>
  <c r="D94" i="5" s="1"/>
  <c r="C93" i="5"/>
  <c r="D93" i="5" s="1"/>
  <c r="B92" i="5"/>
  <c r="C92" i="5" s="1"/>
  <c r="D92" i="5" s="1"/>
  <c r="C91" i="5"/>
  <c r="D91" i="5" s="1"/>
  <c r="C90" i="5"/>
  <c r="D90" i="5" s="1"/>
  <c r="B89" i="5"/>
  <c r="C89" i="5" s="1"/>
  <c r="D89" i="5" s="1"/>
  <c r="C88" i="5"/>
  <c r="D88" i="5" s="1"/>
  <c r="C87" i="5"/>
  <c r="D87" i="5" s="1"/>
  <c r="B86" i="5"/>
  <c r="C86" i="5" s="1"/>
  <c r="D86" i="5" s="1"/>
  <c r="C85" i="5"/>
  <c r="D85" i="5" s="1"/>
  <c r="C84" i="5"/>
  <c r="D84" i="5" s="1"/>
  <c r="C83" i="5"/>
  <c r="D83" i="5" s="1"/>
  <c r="B82" i="5"/>
  <c r="C82" i="5" s="1"/>
  <c r="D82" i="5" s="1"/>
  <c r="B81" i="5"/>
  <c r="C81" i="5" s="1"/>
  <c r="D81" i="5" s="1"/>
  <c r="B80" i="5"/>
  <c r="C80" i="5" s="1"/>
  <c r="D80" i="5" s="1"/>
  <c r="B79" i="5"/>
  <c r="B78" i="5" s="1"/>
  <c r="C78" i="5" s="1"/>
  <c r="D78" i="5" s="1"/>
  <c r="C72" i="5"/>
  <c r="D72" i="5" s="1"/>
  <c r="C71" i="5"/>
  <c r="D71" i="5" s="1"/>
  <c r="C70" i="5"/>
  <c r="D70" i="5" s="1"/>
  <c r="C69" i="5"/>
  <c r="D69" i="5" s="1"/>
  <c r="C66" i="5"/>
  <c r="D66" i="5" s="1"/>
  <c r="C65" i="5"/>
  <c r="D65" i="5" s="1"/>
  <c r="C64" i="5"/>
  <c r="D64" i="5" s="1"/>
  <c r="C63" i="5"/>
  <c r="D63" i="5" s="1"/>
  <c r="C58" i="5"/>
  <c r="D58" i="5" s="1"/>
  <c r="B57" i="5"/>
  <c r="C57" i="5" s="1"/>
  <c r="D57" i="5" s="1"/>
  <c r="C56" i="5"/>
  <c r="D56" i="5" s="1"/>
  <c r="C55" i="5"/>
  <c r="D55" i="5" s="1"/>
  <c r="B54" i="5"/>
  <c r="C54" i="5" s="1"/>
  <c r="D54" i="5" s="1"/>
  <c r="C53" i="5"/>
  <c r="D53" i="5" s="1"/>
  <c r="C52" i="5"/>
  <c r="D52" i="5" s="1"/>
  <c r="B51" i="5"/>
  <c r="C50" i="5"/>
  <c r="D50" i="5" s="1"/>
  <c r="B49" i="5"/>
  <c r="C49" i="5" s="1"/>
  <c r="D49" i="5" s="1"/>
  <c r="C48" i="5"/>
  <c r="D48" i="5" s="1"/>
  <c r="B47" i="5"/>
  <c r="C47" i="5" s="1"/>
  <c r="D47" i="5" s="1"/>
  <c r="C46" i="5"/>
  <c r="D46" i="5" s="1"/>
  <c r="B45" i="5"/>
  <c r="C45" i="5" s="1"/>
  <c r="D45" i="5" s="1"/>
  <c r="E44" i="5"/>
  <c r="E45" i="5" s="1"/>
  <c r="C44" i="5"/>
  <c r="D44" i="5" s="1"/>
  <c r="B43" i="5"/>
  <c r="C43" i="5" s="1"/>
  <c r="D43" i="5" s="1"/>
  <c r="B42" i="5"/>
  <c r="C42" i="5" s="1"/>
  <c r="D42" i="5" s="1"/>
  <c r="B41" i="5"/>
  <c r="C41" i="5" s="1"/>
  <c r="D41" i="5" s="1"/>
  <c r="C39" i="5"/>
  <c r="D39" i="5" s="1"/>
  <c r="B38" i="5"/>
  <c r="C38" i="5" s="1"/>
  <c r="D38" i="5" s="1"/>
  <c r="C37" i="5"/>
  <c r="D37" i="5" s="1"/>
  <c r="B36" i="5"/>
  <c r="C36" i="5" s="1"/>
  <c r="D36" i="5" s="1"/>
  <c r="B35" i="5"/>
  <c r="B33" i="5" s="1"/>
  <c r="C33" i="5" s="1"/>
  <c r="D33" i="5" s="1"/>
  <c r="C34" i="5"/>
  <c r="D34" i="5" s="1"/>
  <c r="C32" i="5"/>
  <c r="D32" i="5" s="1"/>
  <c r="B31" i="5"/>
  <c r="C31" i="5" s="1"/>
  <c r="D31" i="5" s="1"/>
  <c r="B30" i="5"/>
  <c r="C30" i="5" s="1"/>
  <c r="D30" i="5" s="1"/>
  <c r="C29" i="5"/>
  <c r="D29" i="5" s="1"/>
  <c r="B28" i="5"/>
  <c r="B27" i="5" s="1"/>
  <c r="C27" i="5" s="1"/>
  <c r="D27" i="5" s="1"/>
  <c r="C26" i="5"/>
  <c r="D26" i="5" s="1"/>
  <c r="C25" i="5"/>
  <c r="D25" i="5" s="1"/>
  <c r="B24" i="5"/>
  <c r="C24" i="5" s="1"/>
  <c r="D24" i="5" s="1"/>
  <c r="C23" i="5"/>
  <c r="D23" i="5" s="1"/>
  <c r="C22" i="5"/>
  <c r="D22" i="5" s="1"/>
  <c r="C21" i="5"/>
  <c r="D21" i="5" s="1"/>
  <c r="C20" i="5"/>
  <c r="D20" i="5" s="1"/>
  <c r="B19" i="5"/>
  <c r="C19" i="5" s="1"/>
  <c r="D19" i="5" s="1"/>
  <c r="C18" i="5"/>
  <c r="D18" i="5" s="1"/>
  <c r="B17" i="5"/>
  <c r="C17" i="5" s="1"/>
  <c r="D17" i="5" s="1"/>
  <c r="C16" i="5"/>
  <c r="D16" i="5" s="1"/>
  <c r="C15" i="5"/>
  <c r="D15" i="5" s="1"/>
  <c r="B14" i="5"/>
  <c r="C14" i="5" s="1"/>
  <c r="D14" i="5" s="1"/>
  <c r="C13" i="5"/>
  <c r="D13" i="5" s="1"/>
  <c r="B12" i="5"/>
  <c r="C12" i="5" s="1"/>
  <c r="D12" i="5" s="1"/>
  <c r="C11" i="5"/>
  <c r="D11" i="5" s="1"/>
  <c r="B10" i="5"/>
  <c r="C10" i="5" s="1"/>
  <c r="D10" i="5" s="1"/>
  <c r="C9" i="5"/>
  <c r="D9" i="5" s="1"/>
  <c r="C8" i="5"/>
  <c r="D8" i="5" s="1"/>
  <c r="C7" i="5"/>
  <c r="D7" i="5" s="1"/>
  <c r="C6" i="5"/>
  <c r="D6" i="5" s="1"/>
  <c r="B5" i="5"/>
  <c r="B4" i="5" s="1"/>
  <c r="C4" i="5" l="1"/>
  <c r="D4" i="5" s="1"/>
  <c r="B4" i="18"/>
  <c r="B111" i="5"/>
  <c r="C111" i="5" s="1"/>
  <c r="D111" i="5" s="1"/>
  <c r="C28" i="5"/>
  <c r="D28" i="5" s="1"/>
  <c r="C5" i="5"/>
  <c r="D5" i="5" s="1"/>
  <c r="C117" i="5"/>
  <c r="D117" i="5" s="1"/>
  <c r="B121" i="5"/>
  <c r="B122" i="5"/>
  <c r="B40" i="5"/>
  <c r="C40" i="5" s="1"/>
  <c r="D40" i="5" s="1"/>
  <c r="C51" i="5"/>
  <c r="D51" i="5" s="1"/>
  <c r="C79" i="5"/>
  <c r="D79" i="5" s="1"/>
  <c r="C105" i="5"/>
  <c r="D105" i="5" s="1"/>
  <c r="C118" i="5"/>
  <c r="D118" i="5" s="1"/>
  <c r="C35" i="5"/>
  <c r="D35" i="5" s="1"/>
  <c r="C73" i="5"/>
  <c r="D73" i="5" s="1"/>
  <c r="C121" i="5" l="1"/>
  <c r="D121" i="5" s="1"/>
  <c r="K4" i="18"/>
  <c r="F4" i="18" s="1"/>
  <c r="F4" i="2"/>
  <c r="B59" i="5"/>
  <c r="C122" i="5"/>
  <c r="D122" i="5" s="1"/>
  <c r="E4" i="2" l="1"/>
  <c r="H4" i="2" s="1"/>
  <c r="E4" i="18"/>
  <c r="C59" i="5"/>
  <c r="D59" i="5" s="1"/>
  <c r="B74" i="5"/>
  <c r="D4" i="18" l="1"/>
  <c r="L4" i="18"/>
  <c r="C74" i="5"/>
  <c r="D74" i="5" s="1"/>
  <c r="B123" i="5"/>
  <c r="B125" i="5" s="1"/>
  <c r="C123" i="5" l="1"/>
  <c r="D139" i="4"/>
  <c r="E139" i="4" s="1"/>
  <c r="D138" i="4"/>
  <c r="E138" i="4" s="1"/>
  <c r="C137" i="4"/>
  <c r="D137" i="4" s="1"/>
  <c r="E137" i="4" s="1"/>
  <c r="D136" i="4"/>
  <c r="E136" i="4" s="1"/>
  <c r="D135" i="4"/>
  <c r="C134" i="4"/>
  <c r="D134" i="4" s="1"/>
  <c r="E134" i="4" s="1"/>
  <c r="D133" i="4"/>
  <c r="E133" i="4" s="1"/>
  <c r="D132" i="4"/>
  <c r="E132" i="4" s="1"/>
  <c r="D131" i="4"/>
  <c r="E131" i="4" s="1"/>
  <c r="D130" i="4"/>
  <c r="D127" i="4"/>
  <c r="E127" i="4" s="1"/>
  <c r="D125" i="4"/>
  <c r="E125" i="4" s="1"/>
  <c r="C124" i="4"/>
  <c r="D124" i="4" s="1"/>
  <c r="D123" i="4"/>
  <c r="E123" i="4" s="1"/>
  <c r="D121" i="4"/>
  <c r="E121" i="4" s="1"/>
  <c r="D120" i="4"/>
  <c r="E120" i="4" s="1"/>
  <c r="C119" i="4"/>
  <c r="D119" i="4" s="1"/>
  <c r="E119" i="4" s="1"/>
  <c r="D118" i="4"/>
  <c r="E118" i="4" s="1"/>
  <c r="D117" i="4"/>
  <c r="E117" i="4" s="1"/>
  <c r="D116" i="4"/>
  <c r="C116" i="4"/>
  <c r="D115" i="4"/>
  <c r="D114" i="4" s="1"/>
  <c r="C114" i="4"/>
  <c r="D113" i="4"/>
  <c r="E113" i="4" s="1"/>
  <c r="D112" i="4"/>
  <c r="E112" i="4" s="1"/>
  <c r="D111" i="4"/>
  <c r="E111" i="4" s="1"/>
  <c r="E110" i="4" s="1"/>
  <c r="D110" i="4"/>
  <c r="C110" i="4"/>
  <c r="D109" i="4"/>
  <c r="E109" i="4" s="1"/>
  <c r="E108" i="4" s="1"/>
  <c r="D108" i="4"/>
  <c r="C108" i="4"/>
  <c r="D107" i="4"/>
  <c r="E107" i="4" s="1"/>
  <c r="D106" i="4"/>
  <c r="E106" i="4" s="1"/>
  <c r="E105" i="4" s="1"/>
  <c r="C105" i="4"/>
  <c r="D104" i="4"/>
  <c r="E104" i="4" s="1"/>
  <c r="E103" i="4" s="1"/>
  <c r="D103" i="4"/>
  <c r="C103" i="4"/>
  <c r="D102" i="4"/>
  <c r="E102" i="4" s="1"/>
  <c r="D101" i="4"/>
  <c r="E101" i="4" s="1"/>
  <c r="D100" i="4"/>
  <c r="E100" i="4" s="1"/>
  <c r="E99" i="4" s="1"/>
  <c r="C99" i="4"/>
  <c r="D98" i="4"/>
  <c r="E98" i="4" s="1"/>
  <c r="D97" i="4"/>
  <c r="E97" i="4" s="1"/>
  <c r="D96" i="4"/>
  <c r="E96" i="4" s="1"/>
  <c r="C95" i="4"/>
  <c r="D94" i="4"/>
  <c r="E94" i="4" s="1"/>
  <c r="D93" i="4"/>
  <c r="E93" i="4" s="1"/>
  <c r="C92" i="4"/>
  <c r="D91" i="4"/>
  <c r="E91" i="4" s="1"/>
  <c r="D90" i="4"/>
  <c r="E90" i="4" s="1"/>
  <c r="C89" i="4"/>
  <c r="D88" i="4"/>
  <c r="E88" i="4" s="1"/>
  <c r="D87" i="4"/>
  <c r="D86" i="4"/>
  <c r="E86" i="4" s="1"/>
  <c r="D85" i="4"/>
  <c r="E85" i="4" s="1"/>
  <c r="D84" i="4"/>
  <c r="E84" i="4" s="1"/>
  <c r="C83" i="4"/>
  <c r="D82" i="4"/>
  <c r="E82" i="4" s="1"/>
  <c r="D81" i="4"/>
  <c r="E81" i="4" s="1"/>
  <c r="D80" i="4"/>
  <c r="D79" i="4" s="1"/>
  <c r="C79" i="4"/>
  <c r="D78" i="4"/>
  <c r="E78" i="4" s="1"/>
  <c r="D77" i="4"/>
  <c r="E77" i="4" s="1"/>
  <c r="C76" i="4"/>
  <c r="D75" i="4"/>
  <c r="E75" i="4" s="1"/>
  <c r="D74" i="4"/>
  <c r="E74" i="4" s="1"/>
  <c r="D73" i="4"/>
  <c r="D72" i="4" s="1"/>
  <c r="C72" i="4"/>
  <c r="C69" i="4"/>
  <c r="K17" i="18" s="1"/>
  <c r="F17" i="18" s="1"/>
  <c r="D68" i="4"/>
  <c r="E68" i="4" s="1"/>
  <c r="D67" i="4"/>
  <c r="E67" i="4" s="1"/>
  <c r="D66" i="4"/>
  <c r="D65" i="4"/>
  <c r="E65" i="4" s="1"/>
  <c r="D64" i="4"/>
  <c r="E64" i="4" s="1"/>
  <c r="D63" i="4"/>
  <c r="E63" i="4" s="1"/>
  <c r="D60" i="4"/>
  <c r="E60" i="4" s="1"/>
  <c r="D58" i="4"/>
  <c r="D57" i="4" s="1"/>
  <c r="C57" i="4"/>
  <c r="D56" i="4"/>
  <c r="E56" i="4" s="1"/>
  <c r="D55" i="4"/>
  <c r="E55" i="4" s="1"/>
  <c r="D54" i="4"/>
  <c r="E54" i="4" s="1"/>
  <c r="D53" i="4"/>
  <c r="C53" i="4"/>
  <c r="D52" i="4"/>
  <c r="E52" i="4" s="1"/>
  <c r="D51" i="4"/>
  <c r="D50" i="4" s="1"/>
  <c r="C50" i="4"/>
  <c r="D49" i="4"/>
  <c r="E49" i="4" s="1"/>
  <c r="D48" i="4"/>
  <c r="E48" i="4" s="1"/>
  <c r="D47" i="4"/>
  <c r="E47" i="4" s="1"/>
  <c r="C46" i="4"/>
  <c r="D45" i="4"/>
  <c r="E45" i="4" s="1"/>
  <c r="E44" i="4" s="1"/>
  <c r="C44" i="4"/>
  <c r="D43" i="4"/>
  <c r="E43" i="4" s="1"/>
  <c r="C42" i="4"/>
  <c r="D42" i="4" s="1"/>
  <c r="D41" i="4"/>
  <c r="E41" i="4" s="1"/>
  <c r="D39" i="4"/>
  <c r="E39" i="4" s="1"/>
  <c r="E38" i="4" s="1"/>
  <c r="D38" i="4"/>
  <c r="C38" i="4"/>
  <c r="D37" i="4"/>
  <c r="E37" i="4" s="1"/>
  <c r="D36" i="4"/>
  <c r="E36" i="4" s="1"/>
  <c r="C35" i="4"/>
  <c r="D34" i="4"/>
  <c r="E34" i="4" s="1"/>
  <c r="E33" i="4" s="1"/>
  <c r="D33" i="4"/>
  <c r="C33" i="4"/>
  <c r="D32" i="4"/>
  <c r="E32" i="4" s="1"/>
  <c r="D31" i="4"/>
  <c r="E31" i="4" s="1"/>
  <c r="D30" i="4"/>
  <c r="E30" i="4" s="1"/>
  <c r="C29" i="4"/>
  <c r="D28" i="4"/>
  <c r="E28" i="4" s="1"/>
  <c r="D27" i="4"/>
  <c r="E27" i="4" s="1"/>
  <c r="C26" i="4"/>
  <c r="D25" i="4"/>
  <c r="E25" i="4" s="1"/>
  <c r="C24" i="4"/>
  <c r="D24" i="4" s="1"/>
  <c r="E24" i="4" s="1"/>
  <c r="C23" i="4"/>
  <c r="D23" i="4" s="1"/>
  <c r="C22" i="4"/>
  <c r="D21" i="4"/>
  <c r="E21" i="4" s="1"/>
  <c r="D20" i="4"/>
  <c r="E20" i="4" s="1"/>
  <c r="E19" i="4" s="1"/>
  <c r="D19" i="4"/>
  <c r="C19" i="4"/>
  <c r="C18" i="4"/>
  <c r="D18" i="4" s="1"/>
  <c r="E18" i="4" s="1"/>
  <c r="C17" i="4"/>
  <c r="D17" i="4" s="1"/>
  <c r="E17" i="4" s="1"/>
  <c r="C16" i="4"/>
  <c r="D16" i="4" s="1"/>
  <c r="E16" i="4" s="1"/>
  <c r="C15" i="4"/>
  <c r="D15" i="4" s="1"/>
  <c r="C13" i="4"/>
  <c r="D13" i="4" s="1"/>
  <c r="E13" i="4" s="1"/>
  <c r="C12" i="4"/>
  <c r="D12" i="4" s="1"/>
  <c r="E12" i="4" s="1"/>
  <c r="C11" i="4"/>
  <c r="D11" i="4" s="1"/>
  <c r="D9" i="4"/>
  <c r="E9" i="4" s="1"/>
  <c r="D8" i="4"/>
  <c r="E8" i="4" s="1"/>
  <c r="D7" i="4"/>
  <c r="C7" i="4"/>
  <c r="D6" i="4"/>
  <c r="E6" i="4" s="1"/>
  <c r="D5" i="4"/>
  <c r="E5" i="4" s="1"/>
  <c r="D4" i="4"/>
  <c r="E4" i="4" s="1"/>
  <c r="D3" i="4"/>
  <c r="C3" i="4"/>
  <c r="B17" i="18" s="1"/>
  <c r="D123" i="5" l="1"/>
  <c r="D125" i="5" s="1"/>
  <c r="C125" i="5"/>
  <c r="E7" i="4"/>
  <c r="C40" i="4"/>
  <c r="E26" i="4"/>
  <c r="E53" i="4"/>
  <c r="D76" i="4"/>
  <c r="D89" i="4"/>
  <c r="E89" i="4" s="1"/>
  <c r="D26" i="4"/>
  <c r="D105" i="4"/>
  <c r="C14" i="4"/>
  <c r="E116" i="4"/>
  <c r="E76" i="4"/>
  <c r="D44" i="4"/>
  <c r="E92" i="4"/>
  <c r="B18" i="18"/>
  <c r="E3" i="4"/>
  <c r="D46" i="4"/>
  <c r="D35" i="4"/>
  <c r="E46" i="4"/>
  <c r="D95" i="4"/>
  <c r="C122" i="4"/>
  <c r="C126" i="4" s="1"/>
  <c r="D83" i="4"/>
  <c r="E35" i="4"/>
  <c r="D140" i="4"/>
  <c r="D69" i="4"/>
  <c r="E29" i="4"/>
  <c r="E15" i="4"/>
  <c r="E14" i="4" s="1"/>
  <c r="D14" i="4"/>
  <c r="D122" i="4"/>
  <c r="E124" i="4"/>
  <c r="E122" i="4" s="1"/>
  <c r="D40" i="4"/>
  <c r="E42" i="4"/>
  <c r="E40" i="4" s="1"/>
  <c r="E95" i="4"/>
  <c r="E23" i="4"/>
  <c r="E22" i="4" s="1"/>
  <c r="D22" i="4"/>
  <c r="D10" i="4"/>
  <c r="E11" i="4"/>
  <c r="E10" i="4" s="1"/>
  <c r="E66" i="4"/>
  <c r="E69" i="4" s="1"/>
  <c r="E130" i="4"/>
  <c r="E140" i="4" s="1"/>
  <c r="C10" i="4"/>
  <c r="C59" i="4" s="1"/>
  <c r="C140" i="4"/>
  <c r="E51" i="4"/>
  <c r="E50" i="4" s="1"/>
  <c r="E115" i="4"/>
  <c r="E114" i="4" s="1"/>
  <c r="D29" i="4"/>
  <c r="D92" i="4"/>
  <c r="D99" i="4"/>
  <c r="E58" i="4"/>
  <c r="E57" i="4" s="1"/>
  <c r="E80" i="4"/>
  <c r="E79" i="4" s="1"/>
  <c r="E87" i="4"/>
  <c r="E83" i="4" s="1"/>
  <c r="E73" i="4"/>
  <c r="E72" i="4" s="1"/>
  <c r="E18" i="2" l="1"/>
  <c r="E18" i="18"/>
  <c r="C128" i="4"/>
  <c r="D59" i="4"/>
  <c r="D61" i="4" s="1"/>
  <c r="D70" i="4" s="1"/>
  <c r="C61" i="4"/>
  <c r="C70" i="4" s="1"/>
  <c r="E17" i="18"/>
  <c r="D126" i="4"/>
  <c r="D141" i="4" s="1"/>
  <c r="D142" i="4" s="1"/>
  <c r="D144" i="4" s="1"/>
  <c r="F18" i="2"/>
  <c r="K18" i="18"/>
  <c r="F18" i="18" s="1"/>
  <c r="C141" i="4"/>
  <c r="C142" i="4" s="1"/>
  <c r="C144" i="4" s="1"/>
  <c r="E59" i="4"/>
  <c r="E61" i="4" s="1"/>
  <c r="E70" i="4" s="1"/>
  <c r="E126" i="4"/>
  <c r="D128" i="4" l="1"/>
  <c r="D17" i="18"/>
  <c r="L17" i="18"/>
  <c r="D18" i="18"/>
  <c r="L18" i="18"/>
  <c r="E141" i="4"/>
  <c r="E142" i="4" s="1"/>
  <c r="E144" i="4" s="1"/>
  <c r="E128" i="4"/>
  <c r="D43" i="17" l="1"/>
  <c r="E43" i="17"/>
  <c r="F55" i="17"/>
  <c r="F48" i="17"/>
  <c r="G48" i="17" s="1"/>
  <c r="D9" i="17"/>
  <c r="C9" i="17"/>
  <c r="D22" i="17"/>
  <c r="E22" i="17"/>
  <c r="C22" i="17"/>
  <c r="F25" i="17"/>
  <c r="G25" i="17" s="1"/>
  <c r="F26" i="17"/>
  <c r="G26" i="17" s="1"/>
  <c r="F27" i="17"/>
  <c r="F28" i="17"/>
  <c r="G28" i="17" s="1"/>
  <c r="F29" i="17"/>
  <c r="G29" i="17" s="1"/>
  <c r="F30" i="17"/>
  <c r="G30" i="17" s="1"/>
  <c r="F31" i="17"/>
  <c r="G31" i="17" s="1"/>
  <c r="F32" i="17"/>
  <c r="G32" i="17" s="1"/>
  <c r="F33" i="17"/>
  <c r="G33" i="17" s="1"/>
  <c r="F34" i="17"/>
  <c r="G34" i="17" s="1"/>
  <c r="F35" i="17"/>
  <c r="G35" i="17" s="1"/>
  <c r="F36" i="17"/>
  <c r="F24" i="17"/>
  <c r="D38" i="17"/>
  <c r="E38" i="17"/>
  <c r="F19" i="17"/>
  <c r="G19" i="17" s="1"/>
  <c r="C43" i="17"/>
  <c r="G42" i="17"/>
  <c r="G40" i="17"/>
  <c r="G39" i="17"/>
  <c r="C38" i="17"/>
  <c r="G27" i="17"/>
  <c r="F23" i="17"/>
  <c r="F21" i="17"/>
  <c r="G21" i="17" s="1"/>
  <c r="F20" i="17"/>
  <c r="G20" i="17" s="1"/>
  <c r="F18" i="17"/>
  <c r="G18" i="17" s="1"/>
  <c r="F17" i="17"/>
  <c r="G17" i="17" s="1"/>
  <c r="F15" i="17"/>
  <c r="F11" i="17"/>
  <c r="G11" i="17" s="1"/>
  <c r="F10" i="17"/>
  <c r="G10" i="17" s="1"/>
  <c r="F8" i="17"/>
  <c r="G8" i="17" s="1"/>
  <c r="H42" i="17" l="1"/>
  <c r="E57" i="17"/>
  <c r="L34" i="18" s="1"/>
  <c r="F43" i="17"/>
  <c r="D57" i="17"/>
  <c r="F22" i="17"/>
  <c r="G43" i="17"/>
  <c r="C57" i="17"/>
  <c r="G15" i="17"/>
  <c r="G23" i="17"/>
  <c r="F16" i="17"/>
  <c r="G16" i="17" s="1"/>
  <c r="G41" i="17"/>
  <c r="G38" i="17" s="1"/>
  <c r="G24" i="17"/>
  <c r="G36" i="2" l="1"/>
  <c r="H44" i="17"/>
  <c r="G22" i="17"/>
  <c r="G9" i="17"/>
  <c r="F38" i="17"/>
  <c r="F9" i="17"/>
  <c r="F57" i="17" s="1"/>
  <c r="G55" i="17"/>
  <c r="G57" i="17" l="1"/>
  <c r="F5" i="3" l="1"/>
  <c r="F8" i="2" l="1"/>
  <c r="D65" i="8" l="1"/>
  <c r="E65" i="8" s="1"/>
  <c r="D64" i="8"/>
  <c r="E64" i="8" s="1"/>
  <c r="D63" i="8"/>
  <c r="E63" i="8" s="1"/>
  <c r="D62" i="8"/>
  <c r="E62" i="8" s="1"/>
  <c r="D61" i="8"/>
  <c r="E61" i="8" s="1"/>
  <c r="D60" i="8"/>
  <c r="E60" i="8" s="1"/>
  <c r="D59" i="8"/>
  <c r="E59" i="8" s="1"/>
  <c r="D58" i="8"/>
  <c r="E58" i="8" s="1"/>
  <c r="D57" i="8"/>
  <c r="D56" i="8"/>
  <c r="E56" i="8" s="1"/>
  <c r="D55" i="8"/>
  <c r="E55" i="8" s="1"/>
  <c r="D54" i="8"/>
  <c r="E54" i="8" s="1"/>
  <c r="D50" i="8"/>
  <c r="E50" i="8" s="1"/>
  <c r="E49" i="8"/>
  <c r="D49" i="8"/>
  <c r="C48" i="8"/>
  <c r="D47" i="8"/>
  <c r="E47" i="8" s="1"/>
  <c r="D46" i="8"/>
  <c r="E46" i="8" s="1"/>
  <c r="E45" i="8" s="1"/>
  <c r="D45" i="8"/>
  <c r="C45" i="8"/>
  <c r="D44" i="8"/>
  <c r="E44" i="8" s="1"/>
  <c r="E43" i="8" s="1"/>
  <c r="C43" i="8"/>
  <c r="D42" i="8"/>
  <c r="E42" i="8" s="1"/>
  <c r="D41" i="8"/>
  <c r="E41" i="8" s="1"/>
  <c r="D40" i="8"/>
  <c r="E40" i="8" s="1"/>
  <c r="D39" i="8"/>
  <c r="E39" i="8" s="1"/>
  <c r="E38" i="8" s="1"/>
  <c r="D38" i="8"/>
  <c r="C38" i="8"/>
  <c r="D37" i="8"/>
  <c r="E37" i="8" s="1"/>
  <c r="E36" i="8" s="1"/>
  <c r="C36" i="8"/>
  <c r="D35" i="8"/>
  <c r="E35" i="8" s="1"/>
  <c r="D34" i="8"/>
  <c r="E34" i="8" s="1"/>
  <c r="E33" i="8" s="1"/>
  <c r="D33" i="8"/>
  <c r="C33" i="8"/>
  <c r="D32" i="8"/>
  <c r="D31" i="8" s="1"/>
  <c r="C31" i="8"/>
  <c r="D30" i="8"/>
  <c r="E30" i="8" s="1"/>
  <c r="D29" i="8"/>
  <c r="E29" i="8" s="1"/>
  <c r="E28" i="8" s="1"/>
  <c r="C28" i="8"/>
  <c r="D27" i="8"/>
  <c r="E27" i="8" s="1"/>
  <c r="D26" i="8"/>
  <c r="E26" i="8" s="1"/>
  <c r="C25" i="8"/>
  <c r="D25" i="8" s="1"/>
  <c r="E25" i="8" s="1"/>
  <c r="E24" i="8"/>
  <c r="D24" i="8"/>
  <c r="D23" i="8"/>
  <c r="E23" i="8" s="1"/>
  <c r="E22" i="8" s="1"/>
  <c r="D22" i="8"/>
  <c r="C22" i="8"/>
  <c r="D21" i="8"/>
  <c r="E21" i="8" s="1"/>
  <c r="D20" i="8"/>
  <c r="E20" i="8" s="1"/>
  <c r="E19" i="8" s="1"/>
  <c r="D19" i="8"/>
  <c r="C19" i="8"/>
  <c r="D18" i="8"/>
  <c r="E18" i="8" s="1"/>
  <c r="E17" i="8"/>
  <c r="D17" i="8"/>
  <c r="D16" i="8"/>
  <c r="E16" i="8" s="1"/>
  <c r="D15" i="8"/>
  <c r="E15" i="8" s="1"/>
  <c r="E13" i="8" s="1"/>
  <c r="E14" i="8"/>
  <c r="D14" i="8"/>
  <c r="C13" i="8"/>
  <c r="D12" i="8"/>
  <c r="E12" i="8" s="1"/>
  <c r="D11" i="8"/>
  <c r="D9" i="8" s="1"/>
  <c r="E10" i="8"/>
  <c r="D10" i="8"/>
  <c r="C9" i="8"/>
  <c r="D8" i="8"/>
  <c r="E8" i="8" s="1"/>
  <c r="E6" i="8" s="1"/>
  <c r="E7" i="8"/>
  <c r="D7" i="8"/>
  <c r="C6" i="8"/>
  <c r="D5" i="8"/>
  <c r="E5" i="8" s="1"/>
  <c r="E4" i="8" s="1"/>
  <c r="D4" i="8"/>
  <c r="C4" i="8"/>
  <c r="I24" i="2"/>
  <c r="J12" i="2"/>
  <c r="J29" i="2"/>
  <c r="I6" i="2"/>
  <c r="I8" i="2"/>
  <c r="I12" i="2"/>
  <c r="I21" i="2"/>
  <c r="I26" i="2"/>
  <c r="I27" i="2"/>
  <c r="I28" i="2"/>
  <c r="I29" i="2"/>
  <c r="I31" i="2"/>
  <c r="I32" i="2"/>
  <c r="H10" i="2"/>
  <c r="H11" i="2"/>
  <c r="H12" i="2"/>
  <c r="H20" i="2"/>
  <c r="H21" i="2"/>
  <c r="H23" i="2"/>
  <c r="H29" i="2"/>
  <c r="H31" i="2"/>
  <c r="H32" i="2"/>
  <c r="G24" i="2"/>
  <c r="J24" i="2" s="1"/>
  <c r="G31" i="2"/>
  <c r="J31" i="2" s="1"/>
  <c r="G32" i="2"/>
  <c r="J32" i="2" s="1"/>
  <c r="F30" i="2"/>
  <c r="I30" i="2" s="1"/>
  <c r="G29" i="2"/>
  <c r="F23" i="2"/>
  <c r="G23" i="2" s="1"/>
  <c r="J23" i="2" s="1"/>
  <c r="F22" i="2"/>
  <c r="I22" i="2" s="1"/>
  <c r="F21" i="2"/>
  <c r="G21" i="2" s="1"/>
  <c r="J21" i="2" s="1"/>
  <c r="F20" i="2"/>
  <c r="I20" i="2" s="1"/>
  <c r="F19" i="2"/>
  <c r="I19" i="2" s="1"/>
  <c r="I18" i="2"/>
  <c r="H18" i="2"/>
  <c r="F17" i="2"/>
  <c r="I17" i="2" s="1"/>
  <c r="E17" i="2"/>
  <c r="H17" i="2" s="1"/>
  <c r="F12" i="2"/>
  <c r="E12" i="2"/>
  <c r="G12" i="2" s="1"/>
  <c r="E11" i="2"/>
  <c r="F10" i="2"/>
  <c r="G10" i="2" s="1"/>
  <c r="J10" i="2" s="1"/>
  <c r="F9" i="2"/>
  <c r="I9" i="2" s="1"/>
  <c r="I4" i="2"/>
  <c r="G4" i="2"/>
  <c r="J4" i="2" s="1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C18" i="2"/>
  <c r="D18" i="2" s="1"/>
  <c r="C17" i="2"/>
  <c r="D17" i="2" s="1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49" i="13"/>
  <c r="E249" i="13" s="1"/>
  <c r="E248" i="13"/>
  <c r="D248" i="13"/>
  <c r="D247" i="13"/>
  <c r="E247" i="13" s="1"/>
  <c r="D246" i="13"/>
  <c r="E246" i="13" s="1"/>
  <c r="C245" i="13"/>
  <c r="D244" i="13"/>
  <c r="E244" i="13" s="1"/>
  <c r="D243" i="13"/>
  <c r="E243" i="13" s="1"/>
  <c r="D242" i="13"/>
  <c r="E242" i="13" s="1"/>
  <c r="D241" i="13"/>
  <c r="E241" i="13" s="1"/>
  <c r="D240" i="13"/>
  <c r="E240" i="13" s="1"/>
  <c r="C239" i="13"/>
  <c r="D239" i="13" s="1"/>
  <c r="E239" i="13" s="1"/>
  <c r="D238" i="13"/>
  <c r="E238" i="13" s="1"/>
  <c r="C237" i="13"/>
  <c r="D237" i="13" s="1"/>
  <c r="E237" i="13" s="1"/>
  <c r="D236" i="13"/>
  <c r="E236" i="13" s="1"/>
  <c r="D235" i="13"/>
  <c r="E235" i="13" s="1"/>
  <c r="D234" i="13"/>
  <c r="E234" i="13" s="1"/>
  <c r="D233" i="13"/>
  <c r="E233" i="13" s="1"/>
  <c r="D232" i="13"/>
  <c r="E232" i="13" s="1"/>
  <c r="D230" i="13"/>
  <c r="E230" i="13" s="1"/>
  <c r="D229" i="13"/>
  <c r="E229" i="13" s="1"/>
  <c r="D228" i="13"/>
  <c r="E228" i="13" s="1"/>
  <c r="D227" i="13"/>
  <c r="E227" i="13" s="1"/>
  <c r="C226" i="13"/>
  <c r="D226" i="13" s="1"/>
  <c r="E226" i="13" s="1"/>
  <c r="E225" i="13"/>
  <c r="D225" i="13"/>
  <c r="C224" i="13"/>
  <c r="D224" i="13" s="1"/>
  <c r="E224" i="13" s="1"/>
  <c r="D223" i="13"/>
  <c r="E223" i="13" s="1"/>
  <c r="D222" i="13"/>
  <c r="E222" i="13" s="1"/>
  <c r="D221" i="13"/>
  <c r="E221" i="13" s="1"/>
  <c r="C221" i="13"/>
  <c r="D220" i="13"/>
  <c r="E220" i="13" s="1"/>
  <c r="C219" i="13"/>
  <c r="D219" i="13" s="1"/>
  <c r="E219" i="13" s="1"/>
  <c r="D218" i="13"/>
  <c r="E218" i="13" s="1"/>
  <c r="D217" i="13"/>
  <c r="E217" i="13" s="1"/>
  <c r="C216" i="13"/>
  <c r="D216" i="13" s="1"/>
  <c r="E216" i="13" s="1"/>
  <c r="D215" i="13"/>
  <c r="E215" i="13" s="1"/>
  <c r="E214" i="13"/>
  <c r="D214" i="13"/>
  <c r="D213" i="13"/>
  <c r="E213" i="13" s="1"/>
  <c r="D212" i="13"/>
  <c r="E212" i="13" s="1"/>
  <c r="E211" i="13"/>
  <c r="D211" i="13"/>
  <c r="C210" i="13"/>
  <c r="D210" i="13" s="1"/>
  <c r="E210" i="13" s="1"/>
  <c r="D209" i="13"/>
  <c r="E209" i="13" s="1"/>
  <c r="D208" i="13"/>
  <c r="E208" i="13" s="1"/>
  <c r="D207" i="13"/>
  <c r="E207" i="13" s="1"/>
  <c r="C207" i="13"/>
  <c r="D206" i="13"/>
  <c r="E206" i="13" s="1"/>
  <c r="D205" i="13"/>
  <c r="E205" i="13" s="1"/>
  <c r="E204" i="13"/>
  <c r="D204" i="13"/>
  <c r="D203" i="13"/>
  <c r="E203" i="13" s="1"/>
  <c r="C202" i="13"/>
  <c r="D202" i="13" s="1"/>
  <c r="E202" i="13" s="1"/>
  <c r="D201" i="13"/>
  <c r="E201" i="13" s="1"/>
  <c r="E200" i="13"/>
  <c r="D200" i="13"/>
  <c r="D199" i="13"/>
  <c r="E199" i="13" s="1"/>
  <c r="D198" i="13"/>
  <c r="E198" i="13" s="1"/>
  <c r="D197" i="13"/>
  <c r="E197" i="13" s="1"/>
  <c r="C196" i="13"/>
  <c r="D196" i="13" s="1"/>
  <c r="E196" i="13" s="1"/>
  <c r="D195" i="13"/>
  <c r="E195" i="13" s="1"/>
  <c r="D194" i="13"/>
  <c r="E194" i="13" s="1"/>
  <c r="D193" i="13"/>
  <c r="E193" i="13" s="1"/>
  <c r="C192" i="13"/>
  <c r="D192" i="13" s="1"/>
  <c r="E192" i="13" s="1"/>
  <c r="D191" i="13"/>
  <c r="E191" i="13" s="1"/>
  <c r="D190" i="13"/>
  <c r="E190" i="13" s="1"/>
  <c r="C189" i="13"/>
  <c r="D189" i="13" s="1"/>
  <c r="E189" i="13" s="1"/>
  <c r="D188" i="13"/>
  <c r="E188" i="13" s="1"/>
  <c r="D187" i="13"/>
  <c r="E187" i="13" s="1"/>
  <c r="C186" i="13"/>
  <c r="D186" i="13" s="1"/>
  <c r="E186" i="13" s="1"/>
  <c r="D180" i="13"/>
  <c r="E180" i="13" s="1"/>
  <c r="D179" i="13"/>
  <c r="E179" i="13" s="1"/>
  <c r="C178" i="13"/>
  <c r="C176" i="13"/>
  <c r="D176" i="13" s="1"/>
  <c r="E176" i="13" s="1"/>
  <c r="D175" i="13"/>
  <c r="E175" i="13" s="1"/>
  <c r="D174" i="13"/>
  <c r="E174" i="13" s="1"/>
  <c r="D171" i="13"/>
  <c r="E171" i="13" s="1"/>
  <c r="D170" i="13"/>
  <c r="E170" i="13" s="1"/>
  <c r="D169" i="13"/>
  <c r="E169" i="13" s="1"/>
  <c r="D168" i="13"/>
  <c r="E168" i="13" s="1"/>
  <c r="C167" i="13"/>
  <c r="D167" i="13" s="1"/>
  <c r="E167" i="13" s="1"/>
  <c r="D166" i="13"/>
  <c r="E166" i="13" s="1"/>
  <c r="D165" i="13"/>
  <c r="E165" i="13" s="1"/>
  <c r="D164" i="13"/>
  <c r="E164" i="13" s="1"/>
  <c r="C163" i="13"/>
  <c r="D163" i="13" s="1"/>
  <c r="E163" i="13" s="1"/>
  <c r="D162" i="13"/>
  <c r="E162" i="13" s="1"/>
  <c r="D161" i="13"/>
  <c r="E161" i="13" s="1"/>
  <c r="E160" i="13"/>
  <c r="D160" i="13"/>
  <c r="D159" i="13"/>
  <c r="E159" i="13" s="1"/>
  <c r="D158" i="13"/>
  <c r="E158" i="13" s="1"/>
  <c r="C157" i="13"/>
  <c r="D157" i="13" s="1"/>
  <c r="E157" i="13" s="1"/>
  <c r="D156" i="13"/>
  <c r="E156" i="13" s="1"/>
  <c r="C155" i="13"/>
  <c r="D155" i="13" s="1"/>
  <c r="E155" i="13" s="1"/>
  <c r="D154" i="13"/>
  <c r="E154" i="13" s="1"/>
  <c r="E153" i="13"/>
  <c r="D153" i="13"/>
  <c r="D152" i="13"/>
  <c r="E152" i="13" s="1"/>
  <c r="D151" i="13"/>
  <c r="E151" i="13" s="1"/>
  <c r="E150" i="13"/>
  <c r="D150" i="13"/>
  <c r="C149" i="13"/>
  <c r="C145" i="13" s="1"/>
  <c r="D145" i="13" s="1"/>
  <c r="E145" i="13" s="1"/>
  <c r="D148" i="13"/>
  <c r="E148" i="13" s="1"/>
  <c r="D147" i="13"/>
  <c r="E147" i="13" s="1"/>
  <c r="D146" i="13"/>
  <c r="E146" i="13" s="1"/>
  <c r="D144" i="13"/>
  <c r="E144" i="13" s="1"/>
  <c r="C143" i="13"/>
  <c r="D143" i="13" s="1"/>
  <c r="E143" i="13" s="1"/>
  <c r="D142" i="13"/>
  <c r="E142" i="13" s="1"/>
  <c r="D141" i="13"/>
  <c r="E141" i="13" s="1"/>
  <c r="C140" i="13"/>
  <c r="D140" i="13" s="1"/>
  <c r="E140" i="13" s="1"/>
  <c r="E139" i="13"/>
  <c r="D139" i="13"/>
  <c r="C138" i="13"/>
  <c r="D138" i="13" s="1"/>
  <c r="E138" i="13" s="1"/>
  <c r="D137" i="13"/>
  <c r="E137" i="13" s="1"/>
  <c r="D136" i="13"/>
  <c r="E136" i="13" s="1"/>
  <c r="C135" i="13"/>
  <c r="D135" i="13" s="1"/>
  <c r="E135" i="13" s="1"/>
  <c r="D134" i="13"/>
  <c r="E134" i="13" s="1"/>
  <c r="D133" i="13"/>
  <c r="E133" i="13" s="1"/>
  <c r="E132" i="13"/>
  <c r="D132" i="13"/>
  <c r="D131" i="13"/>
  <c r="E131" i="13" s="1"/>
  <c r="D130" i="13"/>
  <c r="E130" i="13" s="1"/>
  <c r="E129" i="13"/>
  <c r="D129" i="13"/>
  <c r="C128" i="13"/>
  <c r="D128" i="13" s="1"/>
  <c r="E128" i="13" s="1"/>
  <c r="D127" i="13"/>
  <c r="E127" i="13" s="1"/>
  <c r="D126" i="13"/>
  <c r="E126" i="13" s="1"/>
  <c r="D125" i="13"/>
  <c r="E125" i="13" s="1"/>
  <c r="C125" i="13"/>
  <c r="D124" i="13"/>
  <c r="E124" i="13" s="1"/>
  <c r="D123" i="13"/>
  <c r="E123" i="13" s="1"/>
  <c r="E122" i="13"/>
  <c r="D122" i="13"/>
  <c r="D121" i="13"/>
  <c r="E121" i="13" s="1"/>
  <c r="C120" i="13"/>
  <c r="D120" i="13" s="1"/>
  <c r="E120" i="13" s="1"/>
  <c r="D119" i="13"/>
  <c r="E119" i="13" s="1"/>
  <c r="D118" i="13"/>
  <c r="E118" i="13" s="1"/>
  <c r="D117" i="13"/>
  <c r="E117" i="13" s="1"/>
  <c r="D116" i="13"/>
  <c r="E116" i="13" s="1"/>
  <c r="D115" i="13"/>
  <c r="E115" i="13" s="1"/>
  <c r="C114" i="13"/>
  <c r="D114" i="13" s="1"/>
  <c r="E114" i="13" s="1"/>
  <c r="D113" i="13"/>
  <c r="E113" i="13" s="1"/>
  <c r="D112" i="13"/>
  <c r="E112" i="13" s="1"/>
  <c r="D111" i="13"/>
  <c r="E111" i="13" s="1"/>
  <c r="E110" i="13"/>
  <c r="D110" i="13"/>
  <c r="D109" i="13"/>
  <c r="E109" i="13" s="1"/>
  <c r="C108" i="13"/>
  <c r="D108" i="13" s="1"/>
  <c r="E108" i="13" s="1"/>
  <c r="D107" i="13"/>
  <c r="E107" i="13" s="1"/>
  <c r="D106" i="13"/>
  <c r="E106" i="13" s="1"/>
  <c r="C105" i="13"/>
  <c r="D105" i="13" s="1"/>
  <c r="E105" i="13" s="1"/>
  <c r="D104" i="13"/>
  <c r="E104" i="13" s="1"/>
  <c r="E103" i="13"/>
  <c r="D103" i="13"/>
  <c r="C102" i="13"/>
  <c r="D102" i="13" s="1"/>
  <c r="E102" i="13" s="1"/>
  <c r="D98" i="13"/>
  <c r="E98" i="13" s="1"/>
  <c r="D97" i="13"/>
  <c r="E97" i="13" s="1"/>
  <c r="D96" i="13"/>
  <c r="E96" i="13" s="1"/>
  <c r="D95" i="13"/>
  <c r="E95" i="13" s="1"/>
  <c r="D92" i="13"/>
  <c r="E92" i="13" s="1"/>
  <c r="D89" i="13"/>
  <c r="E89" i="13" s="1"/>
  <c r="D88" i="13"/>
  <c r="E88" i="13" s="1"/>
  <c r="D87" i="13"/>
  <c r="E87" i="13" s="1"/>
  <c r="D86" i="13"/>
  <c r="E86" i="13" s="1"/>
  <c r="D85" i="13"/>
  <c r="E85" i="13" s="1"/>
  <c r="C84" i="13"/>
  <c r="D84" i="13" s="1"/>
  <c r="E84" i="13" s="1"/>
  <c r="D82" i="13"/>
  <c r="E82" i="13" s="1"/>
  <c r="D78" i="13"/>
  <c r="E78" i="13" s="1"/>
  <c r="C77" i="13"/>
  <c r="C73" i="13" s="1"/>
  <c r="D76" i="13"/>
  <c r="E76" i="13" s="1"/>
  <c r="D75" i="13"/>
  <c r="E75" i="13" s="1"/>
  <c r="E74" i="13"/>
  <c r="D74" i="13"/>
  <c r="D72" i="13"/>
  <c r="E72" i="13" s="1"/>
  <c r="C71" i="13"/>
  <c r="D71" i="13" s="1"/>
  <c r="E71" i="13" s="1"/>
  <c r="D70" i="13"/>
  <c r="E70" i="13" s="1"/>
  <c r="C69" i="13"/>
  <c r="D69" i="13" s="1"/>
  <c r="E69" i="13" s="1"/>
  <c r="D68" i="13"/>
  <c r="E68" i="13" s="1"/>
  <c r="E67" i="13"/>
  <c r="D67" i="13"/>
  <c r="D66" i="13"/>
  <c r="E66" i="13" s="1"/>
  <c r="D65" i="13"/>
  <c r="E65" i="13" s="1"/>
  <c r="D64" i="13"/>
  <c r="E64" i="13" s="1"/>
  <c r="D63" i="13"/>
  <c r="E63" i="13" s="1"/>
  <c r="C62" i="13"/>
  <c r="D62" i="13" s="1"/>
  <c r="E62" i="13" s="1"/>
  <c r="D61" i="13"/>
  <c r="E61" i="13" s="1"/>
  <c r="E60" i="13"/>
  <c r="D60" i="13"/>
  <c r="C60" i="13"/>
  <c r="D59" i="13"/>
  <c r="E59" i="13" s="1"/>
  <c r="D58" i="13"/>
  <c r="E58" i="13" s="1"/>
  <c r="D57" i="13"/>
  <c r="E57" i="13" s="1"/>
  <c r="D56" i="13"/>
  <c r="E56" i="13" s="1"/>
  <c r="D55" i="13"/>
  <c r="E55" i="13" s="1"/>
  <c r="D54" i="13"/>
  <c r="E54" i="13" s="1"/>
  <c r="D53" i="13"/>
  <c r="E53" i="13" s="1"/>
  <c r="E52" i="13"/>
  <c r="D52" i="13"/>
  <c r="D51" i="13"/>
  <c r="E51" i="13" s="1"/>
  <c r="C51" i="13"/>
  <c r="D50" i="13"/>
  <c r="E50" i="13" s="1"/>
  <c r="C49" i="13"/>
  <c r="D49" i="13" s="1"/>
  <c r="E49" i="13" s="1"/>
  <c r="D48" i="13"/>
  <c r="E48" i="13" s="1"/>
  <c r="C47" i="13"/>
  <c r="D47" i="13" s="1"/>
  <c r="E47" i="13" s="1"/>
  <c r="E46" i="13"/>
  <c r="D46" i="13"/>
  <c r="D45" i="13"/>
  <c r="E45" i="13" s="1"/>
  <c r="C44" i="13"/>
  <c r="D44" i="13" s="1"/>
  <c r="E44" i="13" s="1"/>
  <c r="D43" i="13"/>
  <c r="E43" i="13" s="1"/>
  <c r="D42" i="13"/>
  <c r="E42" i="13" s="1"/>
  <c r="C41" i="13"/>
  <c r="D41" i="13" s="1"/>
  <c r="E41" i="13" s="1"/>
  <c r="D40" i="13"/>
  <c r="E40" i="13" s="1"/>
  <c r="E39" i="13"/>
  <c r="D39" i="13"/>
  <c r="C38" i="13"/>
  <c r="D38" i="13" s="1"/>
  <c r="E38" i="13" s="1"/>
  <c r="D37" i="13"/>
  <c r="E37" i="13" s="1"/>
  <c r="D36" i="13"/>
  <c r="E36" i="13" s="1"/>
  <c r="D35" i="13"/>
  <c r="E35" i="13" s="1"/>
  <c r="C34" i="13"/>
  <c r="D34" i="13" s="1"/>
  <c r="E34" i="13" s="1"/>
  <c r="D33" i="13"/>
  <c r="E33" i="13" s="1"/>
  <c r="D32" i="13"/>
  <c r="E32" i="13" s="1"/>
  <c r="C31" i="13"/>
  <c r="D31" i="13" s="1"/>
  <c r="E31" i="13" s="1"/>
  <c r="D30" i="13"/>
  <c r="E30" i="13" s="1"/>
  <c r="D29" i="13"/>
  <c r="E29" i="13" s="1"/>
  <c r="D28" i="13"/>
  <c r="E28" i="13" s="1"/>
  <c r="D27" i="13"/>
  <c r="E27" i="13" s="1"/>
  <c r="D26" i="13"/>
  <c r="E26" i="13" s="1"/>
  <c r="D25" i="13"/>
  <c r="E25" i="13" s="1"/>
  <c r="C25" i="13"/>
  <c r="D24" i="13"/>
  <c r="E24" i="13" s="1"/>
  <c r="E23" i="13"/>
  <c r="D23" i="13"/>
  <c r="D22" i="13"/>
  <c r="E22" i="13" s="1"/>
  <c r="D21" i="13"/>
  <c r="E21" i="13" s="1"/>
  <c r="D20" i="13"/>
  <c r="E20" i="13" s="1"/>
  <c r="C19" i="13"/>
  <c r="D19" i="13" s="1"/>
  <c r="E19" i="13" s="1"/>
  <c r="D18" i="13"/>
  <c r="E18" i="13" s="1"/>
  <c r="D17" i="13"/>
  <c r="E17" i="13" s="1"/>
  <c r="D16" i="13"/>
  <c r="E16" i="13" s="1"/>
  <c r="D15" i="13"/>
  <c r="E15" i="13" s="1"/>
  <c r="C14" i="13"/>
  <c r="D14" i="13" s="1"/>
  <c r="E14" i="13" s="1"/>
  <c r="D13" i="13"/>
  <c r="E13" i="13" s="1"/>
  <c r="D12" i="13"/>
  <c r="E12" i="13" s="1"/>
  <c r="D11" i="13"/>
  <c r="E11" i="13" s="1"/>
  <c r="C10" i="13"/>
  <c r="D10" i="13" s="1"/>
  <c r="E10" i="13" s="1"/>
  <c r="D9" i="13"/>
  <c r="E9" i="13" s="1"/>
  <c r="D8" i="13"/>
  <c r="E8" i="13" s="1"/>
  <c r="C7" i="13"/>
  <c r="D7" i="13" s="1"/>
  <c r="E7" i="13" s="1"/>
  <c r="D6" i="13"/>
  <c r="E6" i="13" s="1"/>
  <c r="C5" i="13"/>
  <c r="D5" i="13" s="1"/>
  <c r="E5" i="13" s="1"/>
  <c r="D4" i="13"/>
  <c r="E4" i="13" s="1"/>
  <c r="D3" i="13"/>
  <c r="E3" i="13" s="1"/>
  <c r="D2" i="13"/>
  <c r="E2" i="13" s="1"/>
  <c r="C2" i="13"/>
  <c r="D57" i="14"/>
  <c r="E57" i="14" s="1"/>
  <c r="D56" i="14"/>
  <c r="E56" i="14" s="1"/>
  <c r="D55" i="14"/>
  <c r="E55" i="14" s="1"/>
  <c r="D52" i="14"/>
  <c r="E52" i="14" s="1"/>
  <c r="D51" i="14"/>
  <c r="E51" i="14" s="1"/>
  <c r="D50" i="14"/>
  <c r="E50" i="14" s="1"/>
  <c r="C49" i="14"/>
  <c r="D49" i="14" s="1"/>
  <c r="E49" i="14" s="1"/>
  <c r="D48" i="14"/>
  <c r="E48" i="14" s="1"/>
  <c r="D47" i="14"/>
  <c r="E47" i="14" s="1"/>
  <c r="C46" i="14"/>
  <c r="D46" i="14" s="1"/>
  <c r="E46" i="14" s="1"/>
  <c r="D45" i="14"/>
  <c r="E45" i="14" s="1"/>
  <c r="D44" i="14"/>
  <c r="E44" i="14" s="1"/>
  <c r="D43" i="14"/>
  <c r="E43" i="14" s="1"/>
  <c r="D42" i="14"/>
  <c r="E42" i="14" s="1"/>
  <c r="D41" i="14"/>
  <c r="E41" i="14" s="1"/>
  <c r="D40" i="14"/>
  <c r="E40" i="14" s="1"/>
  <c r="D39" i="14"/>
  <c r="E39" i="14" s="1"/>
  <c r="C38" i="14"/>
  <c r="D38" i="14" s="1"/>
  <c r="E38" i="14" s="1"/>
  <c r="D37" i="14"/>
  <c r="E37" i="14" s="1"/>
  <c r="C36" i="14"/>
  <c r="D36" i="14" s="1"/>
  <c r="E36" i="14" s="1"/>
  <c r="D35" i="14"/>
  <c r="E35" i="14" s="1"/>
  <c r="D34" i="14"/>
  <c r="E34" i="14" s="1"/>
  <c r="C33" i="14"/>
  <c r="D33" i="14" s="1"/>
  <c r="E33" i="14" s="1"/>
  <c r="D32" i="14"/>
  <c r="E32" i="14" s="1"/>
  <c r="C31" i="14"/>
  <c r="D31" i="14" s="1"/>
  <c r="E31" i="14" s="1"/>
  <c r="D30" i="14"/>
  <c r="E30" i="14" s="1"/>
  <c r="D29" i="14"/>
  <c r="E29" i="14" s="1"/>
  <c r="C28" i="14"/>
  <c r="D28" i="14" s="1"/>
  <c r="E28" i="14" s="1"/>
  <c r="D27" i="14"/>
  <c r="E27" i="14" s="1"/>
  <c r="D26" i="14"/>
  <c r="E26" i="14" s="1"/>
  <c r="C25" i="14"/>
  <c r="D25" i="14" s="1"/>
  <c r="E25" i="14" s="1"/>
  <c r="D24" i="14"/>
  <c r="E24" i="14" s="1"/>
  <c r="D23" i="14"/>
  <c r="E23" i="14" s="1"/>
  <c r="D22" i="14"/>
  <c r="E22" i="14" s="1"/>
  <c r="C21" i="14"/>
  <c r="D21" i="14" s="1"/>
  <c r="E21" i="14" s="1"/>
  <c r="D20" i="14"/>
  <c r="E20" i="14" s="1"/>
  <c r="D19" i="14"/>
  <c r="E19" i="14" s="1"/>
  <c r="C18" i="14"/>
  <c r="D18" i="14" s="1"/>
  <c r="E18" i="14" s="1"/>
  <c r="D17" i="14"/>
  <c r="E17" i="14" s="1"/>
  <c r="D16" i="14"/>
  <c r="E16" i="14" s="1"/>
  <c r="D15" i="14"/>
  <c r="E15" i="14" s="1"/>
  <c r="C14" i="14"/>
  <c r="D14" i="14" s="1"/>
  <c r="E14" i="14" s="1"/>
  <c r="C13" i="14"/>
  <c r="C10" i="14" s="1"/>
  <c r="D10" i="14" s="1"/>
  <c r="E10" i="14" s="1"/>
  <c r="D12" i="14"/>
  <c r="E12" i="14" s="1"/>
  <c r="D11" i="14"/>
  <c r="E11" i="14" s="1"/>
  <c r="D9" i="14"/>
  <c r="E9" i="14" s="1"/>
  <c r="D8" i="14"/>
  <c r="E8" i="14" s="1"/>
  <c r="C7" i="14"/>
  <c r="D7" i="14" s="1"/>
  <c r="E7" i="14" s="1"/>
  <c r="D6" i="14"/>
  <c r="E6" i="14" s="1"/>
  <c r="D5" i="14"/>
  <c r="E5" i="14" s="1"/>
  <c r="D4" i="14"/>
  <c r="E4" i="14" s="1"/>
  <c r="C3" i="14"/>
  <c r="D66" i="8" l="1"/>
  <c r="D67" i="8" s="1"/>
  <c r="D3" i="14"/>
  <c r="E3" i="14" s="1"/>
  <c r="B30" i="18"/>
  <c r="D43" i="8"/>
  <c r="I23" i="2"/>
  <c r="I10" i="2"/>
  <c r="F25" i="2"/>
  <c r="I25" i="2" s="1"/>
  <c r="C51" i="8"/>
  <c r="F52" i="8" s="1"/>
  <c r="D36" i="8"/>
  <c r="D33" i="2"/>
  <c r="C90" i="13"/>
  <c r="G20" i="2"/>
  <c r="J20" i="2" s="1"/>
  <c r="G18" i="2"/>
  <c r="J18" i="2" s="1"/>
  <c r="G17" i="2"/>
  <c r="J17" i="2" s="1"/>
  <c r="E11" i="8"/>
  <c r="E9" i="8" s="1"/>
  <c r="D13" i="8"/>
  <c r="D28" i="8"/>
  <c r="D6" i="8"/>
  <c r="D48" i="8"/>
  <c r="E32" i="8"/>
  <c r="E31" i="8" s="1"/>
  <c r="E57" i="8"/>
  <c r="E66" i="8" s="1"/>
  <c r="E67" i="8" s="1"/>
  <c r="C181" i="13"/>
  <c r="D181" i="13" s="1"/>
  <c r="E181" i="13" s="1"/>
  <c r="D178" i="13"/>
  <c r="E178" i="13" s="1"/>
  <c r="C250" i="13"/>
  <c r="E27" i="18" s="1"/>
  <c r="D245" i="13"/>
  <c r="E245" i="13" s="1"/>
  <c r="D149" i="13"/>
  <c r="E149" i="13" s="1"/>
  <c r="C172" i="13"/>
  <c r="D73" i="13"/>
  <c r="E73" i="13" s="1"/>
  <c r="C81" i="13"/>
  <c r="D77" i="13"/>
  <c r="E77" i="13" s="1"/>
  <c r="D13" i="14"/>
  <c r="E13" i="14" s="1"/>
  <c r="E30" i="2" l="1"/>
  <c r="H30" i="2" s="1"/>
  <c r="E30" i="18"/>
  <c r="E8" i="2"/>
  <c r="E8" i="18"/>
  <c r="C53" i="8"/>
  <c r="D27" i="18"/>
  <c r="L27" i="18"/>
  <c r="E25" i="2"/>
  <c r="E25" i="18"/>
  <c r="G8" i="2"/>
  <c r="J8" i="2" s="1"/>
  <c r="H8" i="2"/>
  <c r="G30" i="2"/>
  <c r="J30" i="2" s="1"/>
  <c r="D250" i="13"/>
  <c r="E250" i="13" s="1"/>
  <c r="E27" i="2"/>
  <c r="G25" i="2"/>
  <c r="J25" i="2" s="1"/>
  <c r="H25" i="2"/>
  <c r="G28" i="2"/>
  <c r="J28" i="2" s="1"/>
  <c r="H28" i="2"/>
  <c r="D90" i="13"/>
  <c r="E90" i="13" s="1"/>
  <c r="E26" i="2"/>
  <c r="D51" i="8"/>
  <c r="E48" i="8"/>
  <c r="E51" i="8" s="1"/>
  <c r="E53" i="8" s="1"/>
  <c r="C182" i="13"/>
  <c r="D182" i="13" s="1"/>
  <c r="E182" i="13" s="1"/>
  <c r="D172" i="13"/>
  <c r="E172" i="13" s="1"/>
  <c r="C91" i="13"/>
  <c r="C99" i="13" s="1"/>
  <c r="C251" i="13" s="1"/>
  <c r="C253" i="13" s="1"/>
  <c r="D81" i="13"/>
  <c r="E81" i="13" s="1"/>
  <c r="D53" i="14"/>
  <c r="E53" i="14" s="1"/>
  <c r="D30" i="18" l="1"/>
  <c r="L30" i="18"/>
  <c r="D58" i="14"/>
  <c r="C60" i="14"/>
  <c r="D8" i="18"/>
  <c r="L8" i="18"/>
  <c r="D25" i="18"/>
  <c r="L25" i="18"/>
  <c r="G27" i="2"/>
  <c r="J27" i="2" s="1"/>
  <c r="H27" i="2"/>
  <c r="G26" i="2"/>
  <c r="H26" i="2"/>
  <c r="D53" i="8"/>
  <c r="D69" i="8"/>
  <c r="E69" i="8"/>
  <c r="D99" i="13"/>
  <c r="D91" i="13"/>
  <c r="E91" i="13" s="1"/>
  <c r="E99" i="13" l="1"/>
  <c r="E251" i="13" s="1"/>
  <c r="E253" i="13" s="1"/>
  <c r="D251" i="13"/>
  <c r="D253" i="13" s="1"/>
  <c r="E58" i="14"/>
  <c r="E60" i="14" s="1"/>
  <c r="D60" i="14"/>
  <c r="J26" i="2"/>
  <c r="C151" i="12"/>
  <c r="D150" i="12"/>
  <c r="E150" i="12" s="1"/>
  <c r="D149" i="12"/>
  <c r="E149" i="12" s="1"/>
  <c r="D148" i="12"/>
  <c r="E148" i="12" s="1"/>
  <c r="D147" i="12"/>
  <c r="E147" i="12" s="1"/>
  <c r="D146" i="12"/>
  <c r="E146" i="12" s="1"/>
  <c r="D145" i="12"/>
  <c r="E145" i="12" s="1"/>
  <c r="D142" i="12"/>
  <c r="D141" i="12"/>
  <c r="C138" i="12"/>
  <c r="D138" i="12" s="1"/>
  <c r="E138" i="12" s="1"/>
  <c r="D137" i="12"/>
  <c r="E137" i="12" s="1"/>
  <c r="D136" i="12"/>
  <c r="E136" i="12" s="1"/>
  <c r="D135" i="12"/>
  <c r="D134" i="12" s="1"/>
  <c r="C134" i="12"/>
  <c r="D133" i="12"/>
  <c r="E133" i="12" s="1"/>
  <c r="E132" i="12" s="1"/>
  <c r="C132" i="12"/>
  <c r="D131" i="12"/>
  <c r="E131" i="12" s="1"/>
  <c r="D130" i="12"/>
  <c r="E130" i="12" s="1"/>
  <c r="D129" i="12"/>
  <c r="E129" i="12" s="1"/>
  <c r="D128" i="12"/>
  <c r="D127" i="12" s="1"/>
  <c r="C127" i="12"/>
  <c r="D126" i="12"/>
  <c r="E126" i="12" s="1"/>
  <c r="E125" i="12" s="1"/>
  <c r="D125" i="12"/>
  <c r="C125" i="12"/>
  <c r="D124" i="12"/>
  <c r="E124" i="12" s="1"/>
  <c r="D123" i="12"/>
  <c r="E123" i="12" s="1"/>
  <c r="E122" i="12" s="1"/>
  <c r="D122" i="12"/>
  <c r="C122" i="12"/>
  <c r="D121" i="12"/>
  <c r="E121" i="12" s="1"/>
  <c r="D120" i="12"/>
  <c r="E120" i="12" s="1"/>
  <c r="C119" i="12"/>
  <c r="D118" i="12"/>
  <c r="E118" i="12" s="1"/>
  <c r="D117" i="12"/>
  <c r="E117" i="12" s="1"/>
  <c r="D116" i="12"/>
  <c r="E116" i="12" s="1"/>
  <c r="E115" i="12" s="1"/>
  <c r="D115" i="12"/>
  <c r="C115" i="12"/>
  <c r="D114" i="12"/>
  <c r="E114" i="12" s="1"/>
  <c r="D113" i="12"/>
  <c r="E113" i="12" s="1"/>
  <c r="C112" i="12"/>
  <c r="D111" i="12"/>
  <c r="E111" i="12" s="1"/>
  <c r="D110" i="12"/>
  <c r="E110" i="12" s="1"/>
  <c r="E109" i="12" s="1"/>
  <c r="C109" i="12"/>
  <c r="C108" i="12"/>
  <c r="D108" i="12" s="1"/>
  <c r="E108" i="12" s="1"/>
  <c r="D107" i="12"/>
  <c r="E107" i="12" s="1"/>
  <c r="D106" i="12"/>
  <c r="E106" i="12" s="1"/>
  <c r="C104" i="12"/>
  <c r="D104" i="12" s="1"/>
  <c r="D103" i="12"/>
  <c r="E103" i="12" s="1"/>
  <c r="D101" i="12"/>
  <c r="E101" i="12" s="1"/>
  <c r="D100" i="12"/>
  <c r="E100" i="12" s="1"/>
  <c r="C99" i="12"/>
  <c r="D99" i="12" s="1"/>
  <c r="E99" i="12" s="1"/>
  <c r="C98" i="12"/>
  <c r="D98" i="12" s="1"/>
  <c r="D97" i="12"/>
  <c r="E97" i="12" s="1"/>
  <c r="C96" i="12"/>
  <c r="D95" i="12"/>
  <c r="E95" i="12" s="1"/>
  <c r="D94" i="12"/>
  <c r="E94" i="12" s="1"/>
  <c r="D93" i="12"/>
  <c r="E93" i="12" s="1"/>
  <c r="C92" i="12"/>
  <c r="D91" i="12"/>
  <c r="E91" i="12" s="1"/>
  <c r="D90" i="12"/>
  <c r="E90" i="12" s="1"/>
  <c r="E89" i="12" s="1"/>
  <c r="D89" i="12"/>
  <c r="C89" i="12"/>
  <c r="D88" i="12"/>
  <c r="D87" i="12" s="1"/>
  <c r="C87" i="12"/>
  <c r="D86" i="12"/>
  <c r="E86" i="12" s="1"/>
  <c r="E85" i="12" s="1"/>
  <c r="D85" i="12"/>
  <c r="C85" i="12"/>
  <c r="D84" i="12"/>
  <c r="E84" i="12" s="1"/>
  <c r="E83" i="12" s="1"/>
  <c r="D83" i="12"/>
  <c r="C83" i="12"/>
  <c r="B22" i="18" s="1"/>
  <c r="D76" i="12"/>
  <c r="E76" i="12" s="1"/>
  <c r="D75" i="12"/>
  <c r="E75" i="12" s="1"/>
  <c r="D71" i="12"/>
  <c r="D70" i="12"/>
  <c r="E70" i="12" s="1"/>
  <c r="D68" i="12"/>
  <c r="E68" i="12" s="1"/>
  <c r="D67" i="12"/>
  <c r="E67" i="12" s="1"/>
  <c r="D66" i="12"/>
  <c r="E66" i="12" s="1"/>
  <c r="E65" i="12" s="1"/>
  <c r="C65" i="12"/>
  <c r="D64" i="12"/>
  <c r="E64" i="12" s="1"/>
  <c r="D63" i="12"/>
  <c r="E63" i="12" s="1"/>
  <c r="D62" i="12"/>
  <c r="E62" i="12" s="1"/>
  <c r="E61" i="12" s="1"/>
  <c r="D61" i="12"/>
  <c r="C61" i="12"/>
  <c r="D60" i="12"/>
  <c r="E60" i="12" s="1"/>
  <c r="D59" i="12"/>
  <c r="E59" i="12" s="1"/>
  <c r="D58" i="12"/>
  <c r="E58" i="12" s="1"/>
  <c r="D57" i="12"/>
  <c r="D56" i="12"/>
  <c r="E56" i="12" s="1"/>
  <c r="D55" i="12"/>
  <c r="C54" i="12"/>
  <c r="D53" i="12"/>
  <c r="E53" i="12" s="1"/>
  <c r="E52" i="12" s="1"/>
  <c r="D52" i="12"/>
  <c r="C52" i="12"/>
  <c r="D51" i="12"/>
  <c r="E51" i="12" s="1"/>
  <c r="D50" i="12"/>
  <c r="E50" i="12" s="1"/>
  <c r="D49" i="12"/>
  <c r="E49" i="12" s="1"/>
  <c r="C48" i="12"/>
  <c r="E45" i="12"/>
  <c r="D45" i="12"/>
  <c r="C45" i="12"/>
  <c r="D44" i="12"/>
  <c r="E44" i="12" s="1"/>
  <c r="C43" i="12"/>
  <c r="D43" i="12" s="1"/>
  <c r="E43" i="12" s="1"/>
  <c r="D42" i="12"/>
  <c r="E42" i="12" s="1"/>
  <c r="C41" i="12"/>
  <c r="D41" i="12" s="1"/>
  <c r="D40" i="12"/>
  <c r="E40" i="12" s="1"/>
  <c r="C39" i="12"/>
  <c r="D38" i="12"/>
  <c r="E38" i="12" s="1"/>
  <c r="D37" i="12"/>
  <c r="E37" i="12" s="1"/>
  <c r="D36" i="12"/>
  <c r="E36" i="12" s="1"/>
  <c r="C35" i="12"/>
  <c r="E32" i="12"/>
  <c r="D32" i="12"/>
  <c r="C32" i="12"/>
  <c r="D31" i="12"/>
  <c r="D30" i="12"/>
  <c r="E30" i="12" s="1"/>
  <c r="D29" i="12"/>
  <c r="D28" i="12"/>
  <c r="E28" i="12" s="1"/>
  <c r="C27" i="12"/>
  <c r="E26" i="12"/>
  <c r="D26" i="12"/>
  <c r="C26" i="12"/>
  <c r="C23" i="12" s="1"/>
  <c r="D25" i="12"/>
  <c r="E25" i="12" s="1"/>
  <c r="D24" i="12"/>
  <c r="E24" i="12" s="1"/>
  <c r="E23" i="12" s="1"/>
  <c r="D23" i="12"/>
  <c r="D22" i="12"/>
  <c r="E22" i="12" s="1"/>
  <c r="D21" i="12"/>
  <c r="E21" i="12" s="1"/>
  <c r="D20" i="12"/>
  <c r="E20" i="12" s="1"/>
  <c r="D19" i="12"/>
  <c r="E19" i="12" s="1"/>
  <c r="D18" i="12"/>
  <c r="E18" i="12" s="1"/>
  <c r="C17" i="12"/>
  <c r="D16" i="12"/>
  <c r="E16" i="12" s="1"/>
  <c r="D15" i="12"/>
  <c r="D14" i="12"/>
  <c r="E14" i="12" s="1"/>
  <c r="C13" i="12"/>
  <c r="D12" i="12"/>
  <c r="E12" i="12" s="1"/>
  <c r="D11" i="12"/>
  <c r="E11" i="12" s="1"/>
  <c r="E10" i="12" s="1"/>
  <c r="D10" i="12"/>
  <c r="C10" i="12"/>
  <c r="D7" i="12"/>
  <c r="D6" i="12"/>
  <c r="C5" i="12"/>
  <c r="D4" i="12"/>
  <c r="E4" i="12" s="1"/>
  <c r="E3" i="12" s="1"/>
  <c r="C3" i="12"/>
  <c r="D151" i="12" l="1"/>
  <c r="D3" i="12"/>
  <c r="D48" i="12"/>
  <c r="E48" i="12"/>
  <c r="C102" i="12"/>
  <c r="D5" i="12"/>
  <c r="D35" i="12"/>
  <c r="D132" i="12"/>
  <c r="D77" i="12"/>
  <c r="E35" i="12"/>
  <c r="E112" i="12"/>
  <c r="E119" i="12"/>
  <c r="D13" i="12"/>
  <c r="D27" i="12"/>
  <c r="D109" i="12"/>
  <c r="C69" i="12"/>
  <c r="E19" i="28" s="1"/>
  <c r="D17" i="12"/>
  <c r="E41" i="12"/>
  <c r="E39" i="12" s="1"/>
  <c r="D39" i="12"/>
  <c r="E17" i="12"/>
  <c r="E104" i="12"/>
  <c r="E102" i="12" s="1"/>
  <c r="D102" i="12"/>
  <c r="D96" i="12"/>
  <c r="E98" i="12"/>
  <c r="E96" i="12" s="1"/>
  <c r="E105" i="12"/>
  <c r="E57" i="12"/>
  <c r="E54" i="12" s="1"/>
  <c r="D54" i="12"/>
  <c r="E92" i="12"/>
  <c r="E135" i="12"/>
  <c r="E134" i="12" s="1"/>
  <c r="E71" i="12"/>
  <c r="E77" i="12" s="1"/>
  <c r="C105" i="12"/>
  <c r="C139" i="12" s="1"/>
  <c r="D65" i="12"/>
  <c r="D92" i="12"/>
  <c r="D105" i="12"/>
  <c r="D112" i="12"/>
  <c r="D119" i="12"/>
  <c r="E15" i="12"/>
  <c r="E13" i="12" s="1"/>
  <c r="E29" i="12"/>
  <c r="E27" i="12" s="1"/>
  <c r="E88" i="12"/>
  <c r="E87" i="12" s="1"/>
  <c r="E128" i="12"/>
  <c r="E127" i="12" s="1"/>
  <c r="D19" i="28" l="1"/>
  <c r="I19" i="28"/>
  <c r="E22" i="18"/>
  <c r="E22" i="28"/>
  <c r="C152" i="12"/>
  <c r="C154" i="12" s="1"/>
  <c r="E151" i="12"/>
  <c r="D22" i="18"/>
  <c r="L22" i="18"/>
  <c r="E19" i="2"/>
  <c r="H19" i="2" s="1"/>
  <c r="E19" i="18"/>
  <c r="C78" i="12"/>
  <c r="C80" i="12" s="1"/>
  <c r="D139" i="12"/>
  <c r="D152" i="12" s="1"/>
  <c r="D154" i="12" s="1"/>
  <c r="C140" i="12"/>
  <c r="D140" i="12" s="1"/>
  <c r="E140" i="12" s="1"/>
  <c r="E22" i="2"/>
  <c r="D69" i="12"/>
  <c r="D78" i="12" s="1"/>
  <c r="D80" i="12" s="1"/>
  <c r="G19" i="2"/>
  <c r="J19" i="2" s="1"/>
  <c r="E69" i="12"/>
  <c r="E78" i="12" s="1"/>
  <c r="E80" i="12" s="1"/>
  <c r="E139" i="12"/>
  <c r="E152" i="12" l="1"/>
  <c r="E154" i="12" s="1"/>
  <c r="I22" i="28"/>
  <c r="D22" i="28"/>
  <c r="D19" i="18"/>
  <c r="L19" i="18"/>
  <c r="H22" i="2"/>
  <c r="G22" i="2"/>
  <c r="J22" i="2" s="1"/>
  <c r="D321" i="9"/>
  <c r="E321" i="9" s="1"/>
  <c r="C320" i="9"/>
  <c r="D319" i="9"/>
  <c r="E319" i="9" s="1"/>
  <c r="C317" i="9"/>
  <c r="D317" i="9" s="1"/>
  <c r="E317" i="9" s="1"/>
  <c r="D316" i="9"/>
  <c r="E316" i="9" s="1"/>
  <c r="C315" i="9"/>
  <c r="D315" i="9" s="1"/>
  <c r="E315" i="9" s="1"/>
  <c r="D314" i="9"/>
  <c r="E314" i="9" s="1"/>
  <c r="C313" i="9"/>
  <c r="D313" i="9" s="1"/>
  <c r="E313" i="9" s="1"/>
  <c r="D312" i="9"/>
  <c r="E312" i="9" s="1"/>
  <c r="D311" i="9"/>
  <c r="E311" i="9" s="1"/>
  <c r="C310" i="9"/>
  <c r="D310" i="9" s="1"/>
  <c r="E310" i="9" s="1"/>
  <c r="D306" i="9"/>
  <c r="E306" i="9" s="1"/>
  <c r="D305" i="9"/>
  <c r="E305" i="9" s="1"/>
  <c r="C304" i="9"/>
  <c r="D304" i="9" s="1"/>
  <c r="E304" i="9" s="1"/>
  <c r="D303" i="9"/>
  <c r="E303" i="9" s="1"/>
  <c r="C302" i="9"/>
  <c r="D302" i="9" s="1"/>
  <c r="E302" i="9" s="1"/>
  <c r="D301" i="9"/>
  <c r="E301" i="9" s="1"/>
  <c r="C300" i="9"/>
  <c r="D299" i="9"/>
  <c r="E299" i="9" s="1"/>
  <c r="C298" i="9"/>
  <c r="D298" i="9" s="1"/>
  <c r="E298" i="9" s="1"/>
  <c r="D297" i="9"/>
  <c r="E297" i="9" s="1"/>
  <c r="D296" i="9"/>
  <c r="E296" i="9" s="1"/>
  <c r="D295" i="9"/>
  <c r="E295" i="9" s="1"/>
  <c r="D294" i="9"/>
  <c r="E294" i="9" s="1"/>
  <c r="D293" i="9"/>
  <c r="C293" i="9"/>
  <c r="D292" i="9"/>
  <c r="E292" i="9" s="1"/>
  <c r="C291" i="9"/>
  <c r="D291" i="9" s="1"/>
  <c r="E291" i="9" s="1"/>
  <c r="D290" i="9"/>
  <c r="E290" i="9" s="1"/>
  <c r="D289" i="9"/>
  <c r="E289" i="9" s="1"/>
  <c r="C288" i="9"/>
  <c r="D288" i="9" s="1"/>
  <c r="E288" i="9" s="1"/>
  <c r="D287" i="9"/>
  <c r="E287" i="9" s="1"/>
  <c r="C286" i="9"/>
  <c r="D286" i="9" s="1"/>
  <c r="E286" i="9" s="1"/>
  <c r="D285" i="9"/>
  <c r="E285" i="9" s="1"/>
  <c r="D284" i="9"/>
  <c r="E284" i="9" s="1"/>
  <c r="C283" i="9"/>
  <c r="D283" i="9" s="1"/>
  <c r="E283" i="9" s="1"/>
  <c r="D282" i="9"/>
  <c r="E282" i="9" s="1"/>
  <c r="D281" i="9"/>
  <c r="E281" i="9" s="1"/>
  <c r="C280" i="9"/>
  <c r="D280" i="9" s="1"/>
  <c r="E280" i="9" s="1"/>
  <c r="D279" i="9"/>
  <c r="E279" i="9" s="1"/>
  <c r="C278" i="9"/>
  <c r="D278" i="9" s="1"/>
  <c r="E278" i="9" s="1"/>
  <c r="D277" i="9"/>
  <c r="E277" i="9" s="1"/>
  <c r="D276" i="9"/>
  <c r="E276" i="9" s="1"/>
  <c r="C275" i="9"/>
  <c r="D275" i="9" s="1"/>
  <c r="E275" i="9" s="1"/>
  <c r="D274" i="9"/>
  <c r="E274" i="9" s="1"/>
  <c r="D273" i="9"/>
  <c r="E273" i="9" s="1"/>
  <c r="C272" i="9"/>
  <c r="D272" i="9" s="1"/>
  <c r="E272" i="9" s="1"/>
  <c r="D271" i="9"/>
  <c r="E271" i="9" s="1"/>
  <c r="D270" i="9"/>
  <c r="E270" i="9" s="1"/>
  <c r="C269" i="9"/>
  <c r="D269" i="9" s="1"/>
  <c r="E269" i="9" s="1"/>
  <c r="D268" i="9"/>
  <c r="E268" i="9" s="1"/>
  <c r="D267" i="9"/>
  <c r="E267" i="9" s="1"/>
  <c r="D266" i="9"/>
  <c r="E266" i="9" s="1"/>
  <c r="C265" i="9"/>
  <c r="D265" i="9" s="1"/>
  <c r="E265" i="9" s="1"/>
  <c r="D264" i="9"/>
  <c r="E264" i="9" s="1"/>
  <c r="C263" i="9"/>
  <c r="D263" i="9" s="1"/>
  <c r="E263" i="9" s="1"/>
  <c r="D262" i="9"/>
  <c r="E262" i="9" s="1"/>
  <c r="D261" i="9"/>
  <c r="E261" i="9" s="1"/>
  <c r="C260" i="9"/>
  <c r="D260" i="9" s="1"/>
  <c r="E260" i="9" s="1"/>
  <c r="C259" i="9"/>
  <c r="D259" i="9" s="1"/>
  <c r="E259" i="9" s="1"/>
  <c r="C258" i="9"/>
  <c r="D258" i="9" l="1"/>
  <c r="E258" i="9" s="1"/>
  <c r="B16" i="18"/>
  <c r="C307" i="9"/>
  <c r="E16" i="18" s="1"/>
  <c r="C322" i="9"/>
  <c r="E293" i="9"/>
  <c r="D318" i="9"/>
  <c r="E318" i="9" s="1"/>
  <c r="D320" i="9"/>
  <c r="E320" i="9" s="1"/>
  <c r="D300" i="9"/>
  <c r="E300" i="9" s="1"/>
  <c r="F16" i="2" l="1"/>
  <c r="I16" i="2" s="1"/>
  <c r="K16" i="18"/>
  <c r="F16" i="18" s="1"/>
  <c r="D16" i="18"/>
  <c r="D322" i="9"/>
  <c r="E322" i="9" s="1"/>
  <c r="E16" i="2"/>
  <c r="D307" i="9"/>
  <c r="E307" i="9" s="1"/>
  <c r="C323" i="9"/>
  <c r="D323" i="9" s="1"/>
  <c r="E323" i="9" s="1"/>
  <c r="H16" i="2"/>
  <c r="C251" i="9"/>
  <c r="H15" i="28" s="1"/>
  <c r="D249" i="9"/>
  <c r="E249" i="9" s="1"/>
  <c r="D248" i="9"/>
  <c r="E248" i="9" s="1"/>
  <c r="D247" i="9"/>
  <c r="E247" i="9" s="1"/>
  <c r="D246" i="9"/>
  <c r="E246" i="9" s="1"/>
  <c r="D245" i="9"/>
  <c r="D244" i="9"/>
  <c r="E244" i="9" s="1"/>
  <c r="D240" i="9"/>
  <c r="E240" i="9" s="1"/>
  <c r="D237" i="9"/>
  <c r="E237" i="9" s="1"/>
  <c r="E235" i="9" s="1"/>
  <c r="D235" i="9"/>
  <c r="C235" i="9"/>
  <c r="D234" i="9"/>
  <c r="E234" i="9" s="1"/>
  <c r="D233" i="9"/>
  <c r="E233" i="9" s="1"/>
  <c r="D232" i="9"/>
  <c r="E232" i="9" s="1"/>
  <c r="C231" i="9"/>
  <c r="D230" i="9"/>
  <c r="E230" i="9" s="1"/>
  <c r="D229" i="9"/>
  <c r="E229" i="9" s="1"/>
  <c r="E228" i="9" s="1"/>
  <c r="D228" i="9"/>
  <c r="C228" i="9"/>
  <c r="D227" i="9"/>
  <c r="E227" i="9" s="1"/>
  <c r="E226" i="9" s="1"/>
  <c r="D226" i="9"/>
  <c r="C226" i="9"/>
  <c r="D225" i="9"/>
  <c r="E225" i="9" s="1"/>
  <c r="D224" i="9"/>
  <c r="E224" i="9" s="1"/>
  <c r="D223" i="9"/>
  <c r="E223" i="9" s="1"/>
  <c r="D222" i="9"/>
  <c r="E222" i="9" s="1"/>
  <c r="D221" i="9"/>
  <c r="E221" i="9" s="1"/>
  <c r="C220" i="9"/>
  <c r="D219" i="9"/>
  <c r="E219" i="9" s="1"/>
  <c r="E218" i="9" s="1"/>
  <c r="D218" i="9"/>
  <c r="C218" i="9"/>
  <c r="D217" i="9"/>
  <c r="E217" i="9" s="1"/>
  <c r="D216" i="9"/>
  <c r="E216" i="9" s="1"/>
  <c r="D215" i="9"/>
  <c r="E215" i="9" s="1"/>
  <c r="D214" i="9"/>
  <c r="E214" i="9" s="1"/>
  <c r="E213" i="9" s="1"/>
  <c r="D213" i="9"/>
  <c r="C213" i="9"/>
  <c r="D212" i="9"/>
  <c r="E212" i="9" s="1"/>
  <c r="E211" i="9" s="1"/>
  <c r="D211" i="9"/>
  <c r="C211" i="9"/>
  <c r="D210" i="9"/>
  <c r="E210" i="9" s="1"/>
  <c r="D209" i="9"/>
  <c r="E209" i="9" s="1"/>
  <c r="D208" i="9"/>
  <c r="E208" i="9" s="1"/>
  <c r="C207" i="9"/>
  <c r="D206" i="9"/>
  <c r="E206" i="9" s="1"/>
  <c r="D205" i="9"/>
  <c r="E205" i="9" s="1"/>
  <c r="D204" i="9"/>
  <c r="E204" i="9" s="1"/>
  <c r="D203" i="9"/>
  <c r="C203" i="9"/>
  <c r="D202" i="9"/>
  <c r="E202" i="9" s="1"/>
  <c r="D201" i="9"/>
  <c r="E201" i="9" s="1"/>
  <c r="E200" i="9" s="1"/>
  <c r="D200" i="9"/>
  <c r="C200" i="9"/>
  <c r="D199" i="9"/>
  <c r="E199" i="9" s="1"/>
  <c r="D198" i="9"/>
  <c r="E198" i="9" s="1"/>
  <c r="C197" i="9"/>
  <c r="D196" i="9"/>
  <c r="E196" i="9" s="1"/>
  <c r="D195" i="9"/>
  <c r="E195" i="9" s="1"/>
  <c r="D194" i="9"/>
  <c r="E194" i="9" s="1"/>
  <c r="D193" i="9"/>
  <c r="E193" i="9" s="1"/>
  <c r="D192" i="9"/>
  <c r="D191" i="9"/>
  <c r="E191" i="9" s="1"/>
  <c r="C190" i="9"/>
  <c r="D189" i="9"/>
  <c r="E189" i="9" s="1"/>
  <c r="D188" i="9"/>
  <c r="E188" i="9" s="1"/>
  <c r="E187" i="9" s="1"/>
  <c r="D187" i="9"/>
  <c r="C187" i="9"/>
  <c r="D186" i="9"/>
  <c r="E186" i="9" s="1"/>
  <c r="D185" i="9"/>
  <c r="D184" i="9"/>
  <c r="E184" i="9" s="1"/>
  <c r="D183" i="9"/>
  <c r="E183" i="9" s="1"/>
  <c r="C182" i="9"/>
  <c r="D181" i="9"/>
  <c r="E181" i="9" s="1"/>
  <c r="D180" i="9"/>
  <c r="E180" i="9" s="1"/>
  <c r="D179" i="9"/>
  <c r="E179" i="9" s="1"/>
  <c r="D178" i="9"/>
  <c r="D177" i="9"/>
  <c r="E177" i="9" s="1"/>
  <c r="C176" i="9"/>
  <c r="D175" i="9"/>
  <c r="E175" i="9" s="1"/>
  <c r="D174" i="9"/>
  <c r="E174" i="9" s="1"/>
  <c r="D173" i="9"/>
  <c r="E173" i="9" s="1"/>
  <c r="D172" i="9"/>
  <c r="E172" i="9" s="1"/>
  <c r="E171" i="9" s="1"/>
  <c r="D171" i="9"/>
  <c r="C171" i="9"/>
  <c r="D170" i="9"/>
  <c r="E170" i="9" s="1"/>
  <c r="D169" i="9"/>
  <c r="E169" i="9" s="1"/>
  <c r="D168" i="9"/>
  <c r="E168" i="9" s="1"/>
  <c r="C167" i="9"/>
  <c r="D166" i="9"/>
  <c r="E166" i="9" s="1"/>
  <c r="D165" i="9"/>
  <c r="E165" i="9" s="1"/>
  <c r="E164" i="9" s="1"/>
  <c r="C164" i="9"/>
  <c r="D163" i="9"/>
  <c r="E163" i="9" s="1"/>
  <c r="D162" i="9"/>
  <c r="E162" i="9" s="1"/>
  <c r="C161" i="9"/>
  <c r="D160" i="9"/>
  <c r="E160" i="9" s="1"/>
  <c r="D159" i="9"/>
  <c r="E159" i="9" s="1"/>
  <c r="D158" i="9"/>
  <c r="E158" i="9" s="1"/>
  <c r="C157" i="9"/>
  <c r="D156" i="9"/>
  <c r="E156" i="9" s="1"/>
  <c r="D155" i="9"/>
  <c r="E155" i="9" s="1"/>
  <c r="D154" i="9"/>
  <c r="E154" i="9" s="1"/>
  <c r="C153" i="9"/>
  <c r="D152" i="9"/>
  <c r="E152" i="9" s="1"/>
  <c r="D151" i="9"/>
  <c r="E151" i="9" s="1"/>
  <c r="D150" i="9"/>
  <c r="E150" i="9" s="1"/>
  <c r="D149" i="9"/>
  <c r="E149" i="9" s="1"/>
  <c r="D148" i="9"/>
  <c r="E148" i="9" s="1"/>
  <c r="E147" i="9" s="1"/>
  <c r="D147" i="9"/>
  <c r="C147" i="9"/>
  <c r="B15" i="18" s="1"/>
  <c r="F15" i="28" l="1"/>
  <c r="I15" i="28"/>
  <c r="D161" i="9"/>
  <c r="D164" i="9"/>
  <c r="G16" i="2"/>
  <c r="J16" i="2" s="1"/>
  <c r="F15" i="2"/>
  <c r="I15" i="2" s="1"/>
  <c r="K15" i="18"/>
  <c r="F15" i="18" s="1"/>
  <c r="E220" i="9"/>
  <c r="D153" i="9"/>
  <c r="L16" i="18"/>
  <c r="D167" i="9"/>
  <c r="E197" i="9"/>
  <c r="D182" i="9"/>
  <c r="E153" i="9"/>
  <c r="D251" i="9"/>
  <c r="D190" i="9"/>
  <c r="D157" i="9"/>
  <c r="D207" i="9"/>
  <c r="D231" i="9"/>
  <c r="E161" i="9"/>
  <c r="E203" i="9"/>
  <c r="D176" i="9"/>
  <c r="E157" i="9"/>
  <c r="D197" i="9"/>
  <c r="E207" i="9"/>
  <c r="D220" i="9"/>
  <c r="E231" i="9"/>
  <c r="C239" i="9"/>
  <c r="E15" i="18" s="1"/>
  <c r="E167" i="9"/>
  <c r="E245" i="9"/>
  <c r="E251" i="9" s="1"/>
  <c r="E178" i="9"/>
  <c r="E176" i="9" s="1"/>
  <c r="E185" i="9"/>
  <c r="E182" i="9" s="1"/>
  <c r="E192" i="9"/>
  <c r="E190" i="9" s="1"/>
  <c r="D15" i="18" l="1"/>
  <c r="L15" i="18"/>
  <c r="D239" i="9"/>
  <c r="D241" i="9" s="1"/>
  <c r="D253" i="9" s="1"/>
  <c r="E239" i="9"/>
  <c r="E241" i="9" s="1"/>
  <c r="E253" i="9" s="1"/>
  <c r="C241" i="9"/>
  <c r="C253" i="9" s="1"/>
  <c r="E15" i="2"/>
  <c r="F14" i="2"/>
  <c r="I14" i="2" s="1"/>
  <c r="D140" i="9"/>
  <c r="E140" i="9" s="1"/>
  <c r="D139" i="9"/>
  <c r="E139" i="9" s="1"/>
  <c r="D137" i="9"/>
  <c r="E137" i="9" s="1"/>
  <c r="D136" i="9"/>
  <c r="D135" i="9"/>
  <c r="E135" i="9" s="1"/>
  <c r="D134" i="9"/>
  <c r="E134" i="9" s="1"/>
  <c r="D133" i="9"/>
  <c r="E133" i="9" s="1"/>
  <c r="D132" i="9"/>
  <c r="E132" i="9" s="1"/>
  <c r="D131" i="9"/>
  <c r="E131" i="9" s="1"/>
  <c r="D130" i="9"/>
  <c r="E130" i="9" s="1"/>
  <c r="D129" i="9"/>
  <c r="E129" i="9" s="1"/>
  <c r="D128" i="9"/>
  <c r="E128" i="9" s="1"/>
  <c r="D127" i="9"/>
  <c r="D126" i="9"/>
  <c r="E126" i="9" s="1"/>
  <c r="D124" i="9"/>
  <c r="E124" i="9" s="1"/>
  <c r="D122" i="9"/>
  <c r="E122" i="9" s="1"/>
  <c r="D121" i="9"/>
  <c r="E121" i="9" s="1"/>
  <c r="C120" i="9"/>
  <c r="D119" i="9"/>
  <c r="E119" i="9" s="1"/>
  <c r="D118" i="9"/>
  <c r="E118" i="9" s="1"/>
  <c r="D117" i="9"/>
  <c r="E117" i="9" s="1"/>
  <c r="D116" i="9"/>
  <c r="D115" i="9" s="1"/>
  <c r="C115" i="9"/>
  <c r="D114" i="9"/>
  <c r="E114" i="9" s="1"/>
  <c r="E113" i="9" s="1"/>
  <c r="C113" i="9"/>
  <c r="D112" i="9"/>
  <c r="E112" i="9" s="1"/>
  <c r="D111" i="9"/>
  <c r="E111" i="9" s="1"/>
  <c r="D110" i="9"/>
  <c r="E110" i="9" s="1"/>
  <c r="D109" i="9"/>
  <c r="D108" i="9"/>
  <c r="E108" i="9" s="1"/>
  <c r="D107" i="9"/>
  <c r="E107" i="9" s="1"/>
  <c r="C106" i="9"/>
  <c r="D105" i="9"/>
  <c r="E105" i="9" s="1"/>
  <c r="E104" i="9" s="1"/>
  <c r="D104" i="9"/>
  <c r="C104" i="9"/>
  <c r="D103" i="9"/>
  <c r="E103" i="9" s="1"/>
  <c r="D102" i="9"/>
  <c r="D101" i="9"/>
  <c r="E101" i="9" s="1"/>
  <c r="C100" i="9"/>
  <c r="D99" i="9"/>
  <c r="E99" i="9" s="1"/>
  <c r="D98" i="9"/>
  <c r="E98" i="9" s="1"/>
  <c r="D97" i="9"/>
  <c r="E97" i="9" s="1"/>
  <c r="D96" i="9"/>
  <c r="E96" i="9" s="1"/>
  <c r="C95" i="9"/>
  <c r="D94" i="9"/>
  <c r="E94" i="9" s="1"/>
  <c r="D93" i="9"/>
  <c r="E93" i="9" s="1"/>
  <c r="D92" i="9"/>
  <c r="E92" i="9" s="1"/>
  <c r="D91" i="9"/>
  <c r="C91" i="9"/>
  <c r="D90" i="9"/>
  <c r="E90" i="9" s="1"/>
  <c r="D89" i="9"/>
  <c r="E89" i="9" s="1"/>
  <c r="E88" i="9" s="1"/>
  <c r="D88" i="9"/>
  <c r="D87" i="9"/>
  <c r="E87" i="9" s="1"/>
  <c r="D86" i="9"/>
  <c r="E86" i="9" s="1"/>
  <c r="D85" i="9"/>
  <c r="D84" i="9"/>
  <c r="E84" i="9" s="1"/>
  <c r="D83" i="9"/>
  <c r="E83" i="9" s="1"/>
  <c r="D82" i="9"/>
  <c r="E82" i="9" s="1"/>
  <c r="D81" i="9"/>
  <c r="E81" i="9" s="1"/>
  <c r="D80" i="9"/>
  <c r="C79" i="9"/>
  <c r="D78" i="9"/>
  <c r="E78" i="9" s="1"/>
  <c r="D77" i="9"/>
  <c r="E77" i="9" s="1"/>
  <c r="D76" i="9"/>
  <c r="E76" i="9" s="1"/>
  <c r="E75" i="9" s="1"/>
  <c r="D75" i="9"/>
  <c r="C75" i="9"/>
  <c r="D74" i="9"/>
  <c r="E74" i="9" s="1"/>
  <c r="D73" i="9"/>
  <c r="D72" i="9" s="1"/>
  <c r="C72" i="9"/>
  <c r="D71" i="9"/>
  <c r="E71" i="9" s="1"/>
  <c r="E70" i="9" s="1"/>
  <c r="D70" i="9"/>
  <c r="C70" i="9"/>
  <c r="B14" i="18" s="1"/>
  <c r="D65" i="9"/>
  <c r="E65" i="9" s="1"/>
  <c r="D64" i="9"/>
  <c r="E64" i="9" s="1"/>
  <c r="D63" i="9"/>
  <c r="E63" i="9" s="1"/>
  <c r="C62" i="9"/>
  <c r="D62" i="9" s="1"/>
  <c r="D61" i="9"/>
  <c r="E61" i="9" s="1"/>
  <c r="E58" i="9"/>
  <c r="E57" i="9"/>
  <c r="D55" i="9"/>
  <c r="E55" i="9" s="1"/>
  <c r="D54" i="9"/>
  <c r="E54" i="9" s="1"/>
  <c r="E53" i="9" s="1"/>
  <c r="D53" i="9"/>
  <c r="C53" i="9"/>
  <c r="D52" i="9"/>
  <c r="E52" i="9" s="1"/>
  <c r="D51" i="9"/>
  <c r="D50" i="9" s="1"/>
  <c r="C50" i="9"/>
  <c r="D49" i="9"/>
  <c r="E49" i="9" s="1"/>
  <c r="E48" i="9" s="1"/>
  <c r="C48" i="9"/>
  <c r="D47" i="9"/>
  <c r="E47" i="9" s="1"/>
  <c r="D46" i="9"/>
  <c r="E46" i="9" s="1"/>
  <c r="D45" i="9"/>
  <c r="D44" i="9"/>
  <c r="E44" i="9" s="1"/>
  <c r="D43" i="9"/>
  <c r="E43" i="9" s="1"/>
  <c r="D42" i="9"/>
  <c r="E42" i="9" s="1"/>
  <c r="D41" i="9"/>
  <c r="E41" i="9" s="1"/>
  <c r="D39" i="9"/>
  <c r="E39" i="9" s="1"/>
  <c r="E38" i="9" s="1"/>
  <c r="D38" i="9"/>
  <c r="C38" i="9"/>
  <c r="D37" i="9"/>
  <c r="E37" i="9" s="1"/>
  <c r="D36" i="9"/>
  <c r="E36" i="9" s="1"/>
  <c r="C35" i="9"/>
  <c r="D35" i="9" s="1"/>
  <c r="D33" i="9"/>
  <c r="E33" i="9" s="1"/>
  <c r="C32" i="9"/>
  <c r="D32" i="9" s="1"/>
  <c r="E32" i="9" s="1"/>
  <c r="D31" i="9"/>
  <c r="E31" i="9" s="1"/>
  <c r="D30" i="9"/>
  <c r="E30" i="9" s="1"/>
  <c r="C29" i="9"/>
  <c r="D28" i="9"/>
  <c r="E28" i="9" s="1"/>
  <c r="D27" i="9"/>
  <c r="E27" i="9" s="1"/>
  <c r="E26" i="9" s="1"/>
  <c r="D26" i="9"/>
  <c r="C26" i="9"/>
  <c r="D25" i="9"/>
  <c r="E25" i="9" s="1"/>
  <c r="D24" i="9"/>
  <c r="D23" i="9"/>
  <c r="E23" i="9" s="1"/>
  <c r="C22" i="9"/>
  <c r="D21" i="9"/>
  <c r="E21" i="9" s="1"/>
  <c r="D20" i="9"/>
  <c r="E20" i="9" s="1"/>
  <c r="C19" i="9"/>
  <c r="D19" i="9" s="1"/>
  <c r="E19" i="9" s="1"/>
  <c r="D18" i="9"/>
  <c r="E18" i="9" s="1"/>
  <c r="D17" i="9"/>
  <c r="D16" i="9"/>
  <c r="E16" i="9" s="1"/>
  <c r="D15" i="9"/>
  <c r="E15" i="9" s="1"/>
  <c r="D14" i="9"/>
  <c r="E14" i="9" s="1"/>
  <c r="C13" i="9"/>
  <c r="D12" i="9"/>
  <c r="E12" i="9" s="1"/>
  <c r="D11" i="9"/>
  <c r="E11" i="9" s="1"/>
  <c r="D10" i="9"/>
  <c r="D9" i="9" s="1"/>
  <c r="C9" i="9"/>
  <c r="D8" i="9"/>
  <c r="E8" i="9" s="1"/>
  <c r="D7" i="9"/>
  <c r="E7" i="9" s="1"/>
  <c r="E6" i="9" s="1"/>
  <c r="C6" i="9"/>
  <c r="D5" i="9"/>
  <c r="E5" i="9" s="1"/>
  <c r="E4" i="9" s="1"/>
  <c r="D4" i="9"/>
  <c r="C4" i="9"/>
  <c r="B13" i="18" s="1"/>
  <c r="E95" i="9" l="1"/>
  <c r="D48" i="9"/>
  <c r="D113" i="9"/>
  <c r="E136" i="9"/>
  <c r="D141" i="9"/>
  <c r="D106" i="9"/>
  <c r="E29" i="9"/>
  <c r="D95" i="9"/>
  <c r="G15" i="2"/>
  <c r="J15" i="2" s="1"/>
  <c r="H15" i="2"/>
  <c r="D22" i="9"/>
  <c r="E85" i="9"/>
  <c r="D100" i="9"/>
  <c r="D40" i="9"/>
  <c r="E91" i="9"/>
  <c r="D120" i="9"/>
  <c r="C123" i="9"/>
  <c r="E14" i="18" s="1"/>
  <c r="E120" i="9"/>
  <c r="E51" i="9"/>
  <c r="E50" i="9" s="1"/>
  <c r="D13" i="9"/>
  <c r="D6" i="9"/>
  <c r="C34" i="9"/>
  <c r="C56" i="9" s="1"/>
  <c r="D79" i="9"/>
  <c r="E102" i="9"/>
  <c r="E100" i="9" s="1"/>
  <c r="E109" i="9"/>
  <c r="E106" i="9" s="1"/>
  <c r="E116" i="9"/>
  <c r="E115" i="9" s="1"/>
  <c r="E73" i="9"/>
  <c r="E72" i="9" s="1"/>
  <c r="E80" i="9"/>
  <c r="E79" i="9" s="1"/>
  <c r="E127" i="9"/>
  <c r="E35" i="9"/>
  <c r="E34" i="9" s="1"/>
  <c r="D34" i="9"/>
  <c r="D66" i="9"/>
  <c r="E62" i="9"/>
  <c r="E66" i="9" s="1"/>
  <c r="E22" i="9"/>
  <c r="E17" i="9"/>
  <c r="E13" i="9" s="1"/>
  <c r="E10" i="9"/>
  <c r="E9" i="9" s="1"/>
  <c r="E45" i="9"/>
  <c r="E40" i="9" s="1"/>
  <c r="C66" i="9"/>
  <c r="D29" i="9"/>
  <c r="E24" i="9"/>
  <c r="E141" i="9" l="1"/>
  <c r="L14" i="18"/>
  <c r="D14" i="18"/>
  <c r="E13" i="2"/>
  <c r="E13" i="18"/>
  <c r="F13" i="2"/>
  <c r="I13" i="2" s="1"/>
  <c r="K13" i="18"/>
  <c r="F13" i="18" s="1"/>
  <c r="C125" i="9"/>
  <c r="E14" i="2"/>
  <c r="D123" i="9"/>
  <c r="D125" i="9" s="1"/>
  <c r="C142" i="9"/>
  <c r="C67" i="9"/>
  <c r="C324" i="9" s="1"/>
  <c r="C326" i="9" s="1"/>
  <c r="D56" i="9"/>
  <c r="D67" i="9" s="1"/>
  <c r="E123" i="9"/>
  <c r="E125" i="9" s="1"/>
  <c r="D142" i="9"/>
  <c r="E56" i="9"/>
  <c r="E67" i="9" s="1"/>
  <c r="D324" i="9" l="1"/>
  <c r="D326" i="9" s="1"/>
  <c r="G13" i="2"/>
  <c r="J13" i="2" s="1"/>
  <c r="H13" i="2"/>
  <c r="D13" i="18"/>
  <c r="L13" i="18"/>
  <c r="E142" i="9"/>
  <c r="E324" i="9" s="1"/>
  <c r="E326" i="9" s="1"/>
  <c r="G14" i="2"/>
  <c r="J14" i="2" s="1"/>
  <c r="H14" i="2"/>
  <c r="C238" i="7"/>
  <c r="D237" i="7"/>
  <c r="E237" i="7" s="1"/>
  <c r="D236" i="7"/>
  <c r="E236" i="7" s="1"/>
  <c r="D235" i="7"/>
  <c r="E235" i="7" s="1"/>
  <c r="D234" i="7"/>
  <c r="D238" i="7" s="1"/>
  <c r="D230" i="7"/>
  <c r="E230" i="7" s="1"/>
  <c r="D229" i="7"/>
  <c r="E229" i="7" s="1"/>
  <c r="E228" i="7"/>
  <c r="D228" i="7"/>
  <c r="D227" i="7"/>
  <c r="E227" i="7" s="1"/>
  <c r="C226" i="7"/>
  <c r="D226" i="7" s="1"/>
  <c r="E226" i="7" s="1"/>
  <c r="D225" i="7"/>
  <c r="E225" i="7" s="1"/>
  <c r="D224" i="7"/>
  <c r="E224" i="7" s="1"/>
  <c r="D223" i="7"/>
  <c r="E223" i="7" s="1"/>
  <c r="D222" i="7"/>
  <c r="E222" i="7" s="1"/>
  <c r="D221" i="7"/>
  <c r="E221" i="7" s="1"/>
  <c r="C221" i="7"/>
  <c r="D220" i="7"/>
  <c r="E220" i="7" s="1"/>
  <c r="C219" i="7"/>
  <c r="D219" i="7" s="1"/>
  <c r="E219" i="7" s="1"/>
  <c r="D218" i="7"/>
  <c r="E218" i="7" s="1"/>
  <c r="D217" i="7"/>
  <c r="E217" i="7" s="1"/>
  <c r="D216" i="7"/>
  <c r="E216" i="7" s="1"/>
  <c r="D215" i="7"/>
  <c r="E215" i="7" s="1"/>
  <c r="D214" i="7"/>
  <c r="E214" i="7" s="1"/>
  <c r="C213" i="7"/>
  <c r="D213" i="7" s="1"/>
  <c r="E213" i="7" s="1"/>
  <c r="D212" i="7"/>
  <c r="E212" i="7" s="1"/>
  <c r="C211" i="7"/>
  <c r="D211" i="7" s="1"/>
  <c r="E211" i="7" s="1"/>
  <c r="D210" i="7"/>
  <c r="E210" i="7" s="1"/>
  <c r="D209" i="7"/>
  <c r="E209" i="7" s="1"/>
  <c r="D208" i="7"/>
  <c r="E208" i="7" s="1"/>
  <c r="D207" i="7"/>
  <c r="E207" i="7" s="1"/>
  <c r="C207" i="7"/>
  <c r="D206" i="7"/>
  <c r="E206" i="7" s="1"/>
  <c r="D205" i="7"/>
  <c r="E205" i="7" s="1"/>
  <c r="D204" i="7"/>
  <c r="E204" i="7" s="1"/>
  <c r="D203" i="7"/>
  <c r="E203" i="7" s="1"/>
  <c r="C202" i="7"/>
  <c r="D202" i="7" s="1"/>
  <c r="E202" i="7" s="1"/>
  <c r="D201" i="7"/>
  <c r="E201" i="7" s="1"/>
  <c r="D200" i="7"/>
  <c r="E200" i="7" s="1"/>
  <c r="C199" i="7"/>
  <c r="D199" i="7" s="1"/>
  <c r="E199" i="7" s="1"/>
  <c r="D198" i="7"/>
  <c r="E198" i="7" s="1"/>
  <c r="D197" i="7"/>
  <c r="E197" i="7" s="1"/>
  <c r="E196" i="7"/>
  <c r="D196" i="7"/>
  <c r="C195" i="7"/>
  <c r="D195" i="7" s="1"/>
  <c r="E195" i="7" s="1"/>
  <c r="D194" i="7"/>
  <c r="E194" i="7" s="1"/>
  <c r="D193" i="7"/>
  <c r="E193" i="7" s="1"/>
  <c r="D192" i="7"/>
  <c r="E192" i="7" s="1"/>
  <c r="D191" i="7"/>
  <c r="E191" i="7" s="1"/>
  <c r="E190" i="7" s="1"/>
  <c r="D190" i="7"/>
  <c r="C190" i="7"/>
  <c r="E189" i="7"/>
  <c r="D189" i="7"/>
  <c r="E188" i="7"/>
  <c r="D188" i="7"/>
  <c r="E187" i="7"/>
  <c r="D187" i="7"/>
  <c r="D186" i="7"/>
  <c r="E186" i="7" s="1"/>
  <c r="E185" i="7"/>
  <c r="D185" i="7"/>
  <c r="D184" i="7"/>
  <c r="E184" i="7" s="1"/>
  <c r="D183" i="7"/>
  <c r="E183" i="7" s="1"/>
  <c r="D182" i="7"/>
  <c r="C182" i="7"/>
  <c r="D181" i="7"/>
  <c r="E181" i="7" s="1"/>
  <c r="D180" i="7"/>
  <c r="E180" i="7" s="1"/>
  <c r="D179" i="7"/>
  <c r="E179" i="7" s="1"/>
  <c r="D178" i="7"/>
  <c r="E178" i="7" s="1"/>
  <c r="C178" i="7"/>
  <c r="D177" i="7"/>
  <c r="E177" i="7" s="1"/>
  <c r="D176" i="7"/>
  <c r="E176" i="7" s="1"/>
  <c r="C175" i="7"/>
  <c r="D175" i="7" s="1"/>
  <c r="E175" i="7" s="1"/>
  <c r="D174" i="7"/>
  <c r="D173" i="7" s="1"/>
  <c r="C173" i="7"/>
  <c r="D172" i="7"/>
  <c r="E172" i="7" s="1"/>
  <c r="C171" i="7"/>
  <c r="D171" i="7" s="1"/>
  <c r="E171" i="7" s="1"/>
  <c r="D170" i="7"/>
  <c r="E170" i="7" s="1"/>
  <c r="D169" i="7"/>
  <c r="E169" i="7" s="1"/>
  <c r="C168" i="7"/>
  <c r="D168" i="7" s="1"/>
  <c r="E168" i="7" s="1"/>
  <c r="E167" i="7"/>
  <c r="D167" i="7"/>
  <c r="E166" i="7"/>
  <c r="D166" i="7"/>
  <c r="D165" i="7"/>
  <c r="E165" i="7" s="1"/>
  <c r="E164" i="7"/>
  <c r="D164" i="7"/>
  <c r="C163" i="7"/>
  <c r="K11" i="18"/>
  <c r="D158" i="7"/>
  <c r="E158" i="7" s="1"/>
  <c r="D157" i="7"/>
  <c r="E157" i="7" s="1"/>
  <c r="D156" i="7"/>
  <c r="E156" i="7" s="1"/>
  <c r="D151" i="7"/>
  <c r="E151" i="7" s="1"/>
  <c r="D150" i="7"/>
  <c r="E150" i="7" s="1"/>
  <c r="C149" i="7"/>
  <c r="D149" i="7" s="1"/>
  <c r="E149" i="7" s="1"/>
  <c r="D148" i="7"/>
  <c r="E148" i="7" s="1"/>
  <c r="D147" i="7"/>
  <c r="E147" i="7" s="1"/>
  <c r="D146" i="7"/>
  <c r="E146" i="7" s="1"/>
  <c r="D145" i="7"/>
  <c r="E145" i="7" s="1"/>
  <c r="C144" i="7"/>
  <c r="D144" i="7" s="1"/>
  <c r="E144" i="7" s="1"/>
  <c r="D143" i="7"/>
  <c r="E143" i="7" s="1"/>
  <c r="C142" i="7"/>
  <c r="D142" i="7" s="1"/>
  <c r="E142" i="7" s="1"/>
  <c r="D141" i="7"/>
  <c r="E141" i="7" s="1"/>
  <c r="D140" i="7"/>
  <c r="E140" i="7" s="1"/>
  <c r="D139" i="7"/>
  <c r="E139" i="7" s="1"/>
  <c r="D138" i="7"/>
  <c r="E138" i="7" s="1"/>
  <c r="D137" i="7"/>
  <c r="E137" i="7" s="1"/>
  <c r="C136" i="7"/>
  <c r="D136" i="7" s="1"/>
  <c r="E136" i="7" s="1"/>
  <c r="D135" i="7"/>
  <c r="E135" i="7" s="1"/>
  <c r="C134" i="7"/>
  <c r="D134" i="7" s="1"/>
  <c r="E134" i="7" s="1"/>
  <c r="D133" i="7"/>
  <c r="E133" i="7" s="1"/>
  <c r="D132" i="7"/>
  <c r="E132" i="7" s="1"/>
  <c r="D131" i="7"/>
  <c r="E131" i="7" s="1"/>
  <c r="C130" i="7"/>
  <c r="D130" i="7" s="1"/>
  <c r="E130" i="7" s="1"/>
  <c r="D129" i="7"/>
  <c r="E129" i="7" s="1"/>
  <c r="D128" i="7"/>
  <c r="E128" i="7" s="1"/>
  <c r="E127" i="7"/>
  <c r="D127" i="7"/>
  <c r="D126" i="7"/>
  <c r="E126" i="7" s="1"/>
  <c r="C125" i="7"/>
  <c r="D125" i="7" s="1"/>
  <c r="E125" i="7" s="1"/>
  <c r="D124" i="7"/>
  <c r="E124" i="7" s="1"/>
  <c r="D123" i="7"/>
  <c r="E123" i="7" s="1"/>
  <c r="D122" i="7"/>
  <c r="E122" i="7" s="1"/>
  <c r="C122" i="7"/>
  <c r="D121" i="7"/>
  <c r="E121" i="7" s="1"/>
  <c r="E120" i="7"/>
  <c r="D120" i="7"/>
  <c r="D119" i="7"/>
  <c r="E119" i="7" s="1"/>
  <c r="C118" i="7"/>
  <c r="D118" i="7" s="1"/>
  <c r="E118" i="7" s="1"/>
  <c r="D117" i="7"/>
  <c r="E117" i="7" s="1"/>
  <c r="D116" i="7"/>
  <c r="E116" i="7" s="1"/>
  <c r="D115" i="7"/>
  <c r="E115" i="7" s="1"/>
  <c r="D114" i="7"/>
  <c r="E114" i="7" s="1"/>
  <c r="E113" i="7" s="1"/>
  <c r="D113" i="7"/>
  <c r="C113" i="7"/>
  <c r="D112" i="7"/>
  <c r="E112" i="7" s="1"/>
  <c r="D111" i="7"/>
  <c r="E111" i="7" s="1"/>
  <c r="E110" i="7"/>
  <c r="D110" i="7"/>
  <c r="D109" i="7"/>
  <c r="E109" i="7" s="1"/>
  <c r="D108" i="7"/>
  <c r="E108" i="7" s="1"/>
  <c r="D107" i="7"/>
  <c r="E107" i="7" s="1"/>
  <c r="D106" i="7"/>
  <c r="D105" i="7" s="1"/>
  <c r="C105" i="7"/>
  <c r="D104" i="7"/>
  <c r="E104" i="7" s="1"/>
  <c r="D103" i="7"/>
  <c r="E103" i="7" s="1"/>
  <c r="D102" i="7"/>
  <c r="E102" i="7" s="1"/>
  <c r="C101" i="7"/>
  <c r="D101" i="7" s="1"/>
  <c r="E101" i="7" s="1"/>
  <c r="E100" i="7"/>
  <c r="D100" i="7"/>
  <c r="D99" i="7"/>
  <c r="E99" i="7" s="1"/>
  <c r="C98" i="7"/>
  <c r="D98" i="7" s="1"/>
  <c r="E98" i="7" s="1"/>
  <c r="D97" i="7"/>
  <c r="E97" i="7" s="1"/>
  <c r="D96" i="7"/>
  <c r="E96" i="7" s="1"/>
  <c r="C96" i="7"/>
  <c r="D94" i="7"/>
  <c r="E94" i="7" s="1"/>
  <c r="C93" i="7"/>
  <c r="D93" i="7" s="1"/>
  <c r="E93" i="7" s="1"/>
  <c r="D92" i="7"/>
  <c r="E92" i="7" s="1"/>
  <c r="D91" i="7"/>
  <c r="E91" i="7" s="1"/>
  <c r="D90" i="7"/>
  <c r="E90" i="7" s="1"/>
  <c r="C89" i="7"/>
  <c r="D89" i="7" s="1"/>
  <c r="E89" i="7" s="1"/>
  <c r="E88" i="7"/>
  <c r="D88" i="7"/>
  <c r="D87" i="7"/>
  <c r="E87" i="7" s="1"/>
  <c r="D86" i="7"/>
  <c r="E86" i="7" s="1"/>
  <c r="D85" i="7"/>
  <c r="E85" i="7" s="1"/>
  <c r="E84" i="7" s="1"/>
  <c r="D84" i="7"/>
  <c r="C84" i="7"/>
  <c r="C80" i="7"/>
  <c r="D80" i="7" s="1"/>
  <c r="E80" i="7" s="1"/>
  <c r="D79" i="7"/>
  <c r="E79" i="7" s="1"/>
  <c r="D78" i="7"/>
  <c r="E78" i="7" s="1"/>
  <c r="D77" i="7"/>
  <c r="E77" i="7" s="1"/>
  <c r="D76" i="7"/>
  <c r="E76" i="7" s="1"/>
  <c r="E75" i="7"/>
  <c r="D75" i="7"/>
  <c r="D74" i="7"/>
  <c r="E74" i="7" s="1"/>
  <c r="D70" i="7"/>
  <c r="E70" i="7" s="1"/>
  <c r="D69" i="7"/>
  <c r="E69" i="7" s="1"/>
  <c r="D68" i="7"/>
  <c r="E68" i="7" s="1"/>
  <c r="D67" i="7"/>
  <c r="E67" i="7" s="1"/>
  <c r="D66" i="7"/>
  <c r="E66" i="7" s="1"/>
  <c r="C65" i="7"/>
  <c r="D65" i="7" s="1"/>
  <c r="E65" i="7" s="1"/>
  <c r="D64" i="7"/>
  <c r="E64" i="7" s="1"/>
  <c r="E63" i="7"/>
  <c r="D63" i="7"/>
  <c r="D62" i="7"/>
  <c r="E62" i="7" s="1"/>
  <c r="D61" i="7"/>
  <c r="E61" i="7" s="1"/>
  <c r="C60" i="7"/>
  <c r="D60" i="7" s="1"/>
  <c r="E60" i="7" s="1"/>
  <c r="D59" i="7"/>
  <c r="E59" i="7" s="1"/>
  <c r="C58" i="7"/>
  <c r="D58" i="7" s="1"/>
  <c r="E58" i="7" s="1"/>
  <c r="D57" i="7"/>
  <c r="E57" i="7" s="1"/>
  <c r="E56" i="7"/>
  <c r="D56" i="7"/>
  <c r="D55" i="7"/>
  <c r="E55" i="7" s="1"/>
  <c r="D54" i="7"/>
  <c r="E54" i="7" s="1"/>
  <c r="D53" i="7"/>
  <c r="E53" i="7" s="1"/>
  <c r="C52" i="7"/>
  <c r="D52" i="7" s="1"/>
  <c r="E52" i="7" s="1"/>
  <c r="D51" i="7"/>
  <c r="E51" i="7" s="1"/>
  <c r="C50" i="7"/>
  <c r="D50" i="7" s="1"/>
  <c r="E50" i="7" s="1"/>
  <c r="E49" i="7"/>
  <c r="D49" i="7"/>
  <c r="D48" i="7"/>
  <c r="E48" i="7" s="1"/>
  <c r="D47" i="7"/>
  <c r="E47" i="7" s="1"/>
  <c r="C46" i="7"/>
  <c r="D46" i="7" s="1"/>
  <c r="E46" i="7" s="1"/>
  <c r="E45" i="7"/>
  <c r="D45" i="7"/>
  <c r="D44" i="7"/>
  <c r="E44" i="7" s="1"/>
  <c r="D43" i="7"/>
  <c r="E43" i="7" s="1"/>
  <c r="D42" i="7"/>
  <c r="E42" i="7" s="1"/>
  <c r="C41" i="7"/>
  <c r="D41" i="7" s="1"/>
  <c r="E41" i="7" s="1"/>
  <c r="D40" i="7"/>
  <c r="E40" i="7" s="1"/>
  <c r="D39" i="7"/>
  <c r="E39" i="7" s="1"/>
  <c r="C38" i="7"/>
  <c r="D38" i="7" s="1"/>
  <c r="E38" i="7" s="1"/>
  <c r="D37" i="7"/>
  <c r="E37" i="7" s="1"/>
  <c r="D36" i="7"/>
  <c r="E36" i="7" s="1"/>
  <c r="D35" i="7"/>
  <c r="E35" i="7" s="1"/>
  <c r="C34" i="7"/>
  <c r="D34" i="7" s="1"/>
  <c r="E34" i="7" s="1"/>
  <c r="D33" i="7"/>
  <c r="E33" i="7" s="1"/>
  <c r="D32" i="7"/>
  <c r="E32" i="7" s="1"/>
  <c r="D31" i="7"/>
  <c r="D29" i="7" s="1"/>
  <c r="E30" i="7"/>
  <c r="D30" i="7"/>
  <c r="C29" i="7"/>
  <c r="D28" i="7"/>
  <c r="E28" i="7" s="1"/>
  <c r="D27" i="7"/>
  <c r="E27" i="7" s="1"/>
  <c r="D26" i="7"/>
  <c r="E26" i="7" s="1"/>
  <c r="D25" i="7"/>
  <c r="E25" i="7" s="1"/>
  <c r="D24" i="7"/>
  <c r="E24" i="7" s="1"/>
  <c r="D23" i="7"/>
  <c r="D21" i="7" s="1"/>
  <c r="D22" i="7"/>
  <c r="E22" i="7" s="1"/>
  <c r="C21" i="7"/>
  <c r="E20" i="7"/>
  <c r="D20" i="7"/>
  <c r="D19" i="7"/>
  <c r="E19" i="7" s="1"/>
  <c r="D18" i="7"/>
  <c r="E18" i="7" s="1"/>
  <c r="C17" i="7"/>
  <c r="D17" i="7" s="1"/>
  <c r="E17" i="7" s="1"/>
  <c r="D16" i="7"/>
  <c r="E16" i="7" s="1"/>
  <c r="D15" i="7"/>
  <c r="E15" i="7" s="1"/>
  <c r="C14" i="7"/>
  <c r="D14" i="7" s="1"/>
  <c r="E14" i="7" s="1"/>
  <c r="E13" i="7"/>
  <c r="D13" i="7"/>
  <c r="E12" i="7"/>
  <c r="D12" i="7"/>
  <c r="C12" i="7"/>
  <c r="D11" i="7"/>
  <c r="E11" i="7" s="1"/>
  <c r="C10" i="7"/>
  <c r="H3" i="7" s="1"/>
  <c r="E9" i="7"/>
  <c r="D9" i="7"/>
  <c r="D8" i="7"/>
  <c r="E8" i="7" s="1"/>
  <c r="D7" i="7"/>
  <c r="E7" i="7" s="1"/>
  <c r="C6" i="7"/>
  <c r="D5" i="7"/>
  <c r="E5" i="7" s="1"/>
  <c r="D4" i="7"/>
  <c r="E4" i="7" s="1"/>
  <c r="D3" i="7"/>
  <c r="D2" i="7" s="1"/>
  <c r="C2" i="7"/>
  <c r="F11" i="18" l="1"/>
  <c r="L11" i="18"/>
  <c r="D159" i="7"/>
  <c r="E159" i="7" s="1"/>
  <c r="F11" i="2"/>
  <c r="E234" i="7"/>
  <c r="E238" i="7" s="1"/>
  <c r="D10" i="7"/>
  <c r="E10" i="7" s="1"/>
  <c r="D71" i="7"/>
  <c r="D81" i="7" s="1"/>
  <c r="C153" i="7"/>
  <c r="C160" i="7" s="1"/>
  <c r="D160" i="7" s="1"/>
  <c r="E160" i="7" s="1"/>
  <c r="E23" i="7"/>
  <c r="E21" i="7" s="1"/>
  <c r="D153" i="7"/>
  <c r="E106" i="7"/>
  <c r="E105" i="7" s="1"/>
  <c r="E153" i="7" s="1"/>
  <c r="E182" i="7"/>
  <c r="C231" i="7"/>
  <c r="E3" i="7"/>
  <c r="E2" i="7" s="1"/>
  <c r="C71" i="7"/>
  <c r="E174" i="7"/>
  <c r="E173" i="7" s="1"/>
  <c r="E31" i="7"/>
  <c r="E29" i="7" s="1"/>
  <c r="D163" i="7"/>
  <c r="E163" i="7" s="1"/>
  <c r="D6" i="7"/>
  <c r="E6" i="7" s="1"/>
  <c r="E9" i="28" l="1"/>
  <c r="E9" i="18"/>
  <c r="D240" i="7"/>
  <c r="D242" i="7" s="1"/>
  <c r="C81" i="7"/>
  <c r="C240" i="7" s="1"/>
  <c r="C242" i="7" s="1"/>
  <c r="E9" i="2"/>
  <c r="I11" i="2"/>
  <c r="G11" i="2"/>
  <c r="E71" i="7"/>
  <c r="E81" i="7" s="1"/>
  <c r="E240" i="7" s="1"/>
  <c r="E242" i="7" s="1"/>
  <c r="C239" i="7"/>
  <c r="D231" i="7"/>
  <c r="D239" i="7" s="1"/>
  <c r="E231" i="7"/>
  <c r="E239" i="7" s="1"/>
  <c r="D9" i="18" l="1"/>
  <c r="L9" i="18"/>
  <c r="I9" i="28"/>
  <c r="D9" i="28"/>
  <c r="G9" i="2"/>
  <c r="J9" i="2" s="1"/>
  <c r="H9" i="2"/>
  <c r="J11" i="2"/>
  <c r="C1281" i="6"/>
  <c r="D1281" i="6" s="1"/>
  <c r="E1281" i="6" s="1"/>
  <c r="D1280" i="6"/>
  <c r="E1280" i="6" s="1"/>
  <c r="D1279" i="6"/>
  <c r="E1279" i="6" s="1"/>
  <c r="D1278" i="6"/>
  <c r="E1278" i="6" s="1"/>
  <c r="D1277" i="6"/>
  <c r="E1277" i="6" s="1"/>
  <c r="D1276" i="6"/>
  <c r="E1276" i="6" s="1"/>
  <c r="D1275" i="6"/>
  <c r="E1275" i="6" s="1"/>
  <c r="D1274" i="6"/>
  <c r="E1274" i="6" s="1"/>
  <c r="D1272" i="6"/>
  <c r="E1272" i="6" s="1"/>
  <c r="D1270" i="6"/>
  <c r="E1270" i="6" s="1"/>
  <c r="C1269" i="6"/>
  <c r="D1269" i="6" s="1"/>
  <c r="E1269" i="6" s="1"/>
  <c r="E1268" i="6"/>
  <c r="E1267" i="6"/>
  <c r="D1267" i="6"/>
  <c r="D1266" i="6"/>
  <c r="E1266" i="6" s="1"/>
  <c r="D1265" i="6"/>
  <c r="E1265" i="6" s="1"/>
  <c r="C1264" i="6"/>
  <c r="D1264" i="6" s="1"/>
  <c r="E1264" i="6" s="1"/>
  <c r="D1263" i="6"/>
  <c r="E1263" i="6" s="1"/>
  <c r="C1262" i="6"/>
  <c r="D1262" i="6" s="1"/>
  <c r="E1262" i="6" s="1"/>
  <c r="D1261" i="6"/>
  <c r="E1261" i="6" s="1"/>
  <c r="D1260" i="6"/>
  <c r="E1260" i="6" s="1"/>
  <c r="D1259" i="6"/>
  <c r="E1259" i="6" s="1"/>
  <c r="D1258" i="6"/>
  <c r="E1258" i="6" s="1"/>
  <c r="D1257" i="6"/>
  <c r="E1257" i="6" s="1"/>
  <c r="D1256" i="6"/>
  <c r="E1256" i="6" s="1"/>
  <c r="C1255" i="6"/>
  <c r="D1255" i="6" s="1"/>
  <c r="E1255" i="6" s="1"/>
  <c r="D1254" i="6"/>
  <c r="E1254" i="6" s="1"/>
  <c r="C1253" i="6"/>
  <c r="D1253" i="6" s="1"/>
  <c r="E1253" i="6" s="1"/>
  <c r="D1252" i="6"/>
  <c r="E1252" i="6" s="1"/>
  <c r="D1251" i="6"/>
  <c r="E1251" i="6" s="1"/>
  <c r="D1250" i="6"/>
  <c r="E1250" i="6" s="1"/>
  <c r="D1249" i="6"/>
  <c r="E1249" i="6" s="1"/>
  <c r="D1248" i="6"/>
  <c r="E1248" i="6" s="1"/>
  <c r="C1247" i="6"/>
  <c r="D1247" i="6" s="1"/>
  <c r="E1247" i="6" s="1"/>
  <c r="D1246" i="6"/>
  <c r="E1246" i="6" s="1"/>
  <c r="D1245" i="6"/>
  <c r="E1245" i="6" s="1"/>
  <c r="C1244" i="6"/>
  <c r="D1244" i="6" s="1"/>
  <c r="E1244" i="6" s="1"/>
  <c r="D1243" i="6"/>
  <c r="E1243" i="6" s="1"/>
  <c r="D1242" i="6"/>
  <c r="E1242" i="6" s="1"/>
  <c r="D1241" i="6"/>
  <c r="E1241" i="6" s="1"/>
  <c r="C1240" i="6"/>
  <c r="D1240" i="6" s="1"/>
  <c r="E1240" i="6" s="1"/>
  <c r="D1239" i="6"/>
  <c r="E1239" i="6" s="1"/>
  <c r="E1238" i="6"/>
  <c r="D1237" i="6"/>
  <c r="E1237" i="6" s="1"/>
  <c r="D1236" i="6"/>
  <c r="E1236" i="6" s="1"/>
  <c r="D1235" i="6"/>
  <c r="E1235" i="6" s="1"/>
  <c r="D1234" i="6"/>
  <c r="E1234" i="6" s="1"/>
  <c r="D1233" i="6"/>
  <c r="E1233" i="6" s="1"/>
  <c r="D1232" i="6"/>
  <c r="E1232" i="6" s="1"/>
  <c r="D1231" i="6"/>
  <c r="E1231" i="6" s="1"/>
  <c r="D1230" i="6"/>
  <c r="E1230" i="6" s="1"/>
  <c r="C1229" i="6"/>
  <c r="D1229" i="6" s="1"/>
  <c r="E1229" i="6" s="1"/>
  <c r="D1228" i="6"/>
  <c r="E1228" i="6" s="1"/>
  <c r="D1227" i="6"/>
  <c r="E1227" i="6" s="1"/>
  <c r="D1226" i="6"/>
  <c r="E1226" i="6" s="1"/>
  <c r="D1225" i="6"/>
  <c r="E1225" i="6" s="1"/>
  <c r="C1224" i="6"/>
  <c r="D1224" i="6" s="1"/>
  <c r="E1224" i="6" s="1"/>
  <c r="D1223" i="6"/>
  <c r="E1223" i="6" s="1"/>
  <c r="D1222" i="6"/>
  <c r="E1222" i="6" s="1"/>
  <c r="C1221" i="6"/>
  <c r="D1221" i="6" s="1"/>
  <c r="E1221" i="6" s="1"/>
  <c r="D1220" i="6"/>
  <c r="E1220" i="6" s="1"/>
  <c r="C1219" i="6"/>
  <c r="D1219" i="6" s="1"/>
  <c r="E1219" i="6" s="1"/>
  <c r="D1218" i="6"/>
  <c r="E1218" i="6" s="1"/>
  <c r="D1217" i="6"/>
  <c r="E1217" i="6" s="1"/>
  <c r="D1216" i="6"/>
  <c r="E1216" i="6" s="1"/>
  <c r="D1215" i="6"/>
  <c r="E1215" i="6" s="1"/>
  <c r="C1214" i="6"/>
  <c r="D1214" i="6" s="1"/>
  <c r="E1214" i="6" s="1"/>
  <c r="D1213" i="6"/>
  <c r="E1213" i="6" s="1"/>
  <c r="D1212" i="6"/>
  <c r="E1212" i="6" s="1"/>
  <c r="D1211" i="6"/>
  <c r="E1211" i="6" s="1"/>
  <c r="D1210" i="6"/>
  <c r="E1210" i="6" s="1"/>
  <c r="D1209" i="6"/>
  <c r="E1209" i="6" s="1"/>
  <c r="D1208" i="6"/>
  <c r="E1208" i="6" s="1"/>
  <c r="D1207" i="6"/>
  <c r="E1207" i="6" s="1"/>
  <c r="C1206" i="6"/>
  <c r="D1206" i="6" s="1"/>
  <c r="E1206" i="6" s="1"/>
  <c r="D1205" i="6"/>
  <c r="E1205" i="6" s="1"/>
  <c r="D1204" i="6"/>
  <c r="E1204" i="6" s="1"/>
  <c r="D1203" i="6"/>
  <c r="E1203" i="6" s="1"/>
  <c r="C1202" i="6"/>
  <c r="D1202" i="6" s="1"/>
  <c r="E1202" i="6" s="1"/>
  <c r="D1201" i="6"/>
  <c r="E1201" i="6" s="1"/>
  <c r="D1200" i="6"/>
  <c r="E1200" i="6" s="1"/>
  <c r="C1199" i="6"/>
  <c r="D1199" i="6" s="1"/>
  <c r="E1199" i="6" s="1"/>
  <c r="C1194" i="6"/>
  <c r="C1192" i="6"/>
  <c r="C1190" i="6"/>
  <c r="E1183" i="6"/>
  <c r="D1183" i="6"/>
  <c r="C1183" i="6"/>
  <c r="D1174" i="6"/>
  <c r="E1174" i="6" s="1"/>
  <c r="D1173" i="6"/>
  <c r="E1173" i="6" s="1"/>
  <c r="D1172" i="6"/>
  <c r="E1172" i="6" s="1"/>
  <c r="C1171" i="6"/>
  <c r="D1171" i="6" s="1"/>
  <c r="E1171" i="6" s="1"/>
  <c r="D1170" i="6"/>
  <c r="E1170" i="6" s="1"/>
  <c r="E1169" i="6"/>
  <c r="D1168" i="6"/>
  <c r="E1168" i="6" s="1"/>
  <c r="D1167" i="6"/>
  <c r="E1167" i="6" s="1"/>
  <c r="D1166" i="6"/>
  <c r="E1166" i="6" s="1"/>
  <c r="C1166" i="6"/>
  <c r="D1165" i="6" s="1"/>
  <c r="E1165" i="6" s="1"/>
  <c r="D1164" i="6"/>
  <c r="E1164" i="6" s="1"/>
  <c r="C1164" i="6"/>
  <c r="D1162" i="6"/>
  <c r="E1162" i="6" s="1"/>
  <c r="D1161" i="6"/>
  <c r="E1161" i="6" s="1"/>
  <c r="D1160" i="6"/>
  <c r="E1160" i="6" s="1"/>
  <c r="D1159" i="6"/>
  <c r="E1159" i="6" s="1"/>
  <c r="D1158" i="6"/>
  <c r="E1158" i="6" s="1"/>
  <c r="C1157" i="6"/>
  <c r="D1157" i="6" s="1"/>
  <c r="E1157" i="6" s="1"/>
  <c r="D1156" i="6"/>
  <c r="E1156" i="6" s="1"/>
  <c r="C1155" i="6"/>
  <c r="D1155" i="6" s="1"/>
  <c r="E1155" i="6" s="1"/>
  <c r="D1154" i="6"/>
  <c r="E1154" i="6" s="1"/>
  <c r="D1153" i="6"/>
  <c r="E1153" i="6" s="1"/>
  <c r="D1152" i="6"/>
  <c r="E1152" i="6" s="1"/>
  <c r="D1151" i="6"/>
  <c r="E1151" i="6" s="1"/>
  <c r="D1150" i="6"/>
  <c r="E1150" i="6" s="1"/>
  <c r="C1149" i="6"/>
  <c r="D1149" i="6" s="1"/>
  <c r="E1149" i="6" s="1"/>
  <c r="D1148" i="6"/>
  <c r="E1148" i="6" s="1"/>
  <c r="D1147" i="6"/>
  <c r="E1147" i="6" s="1"/>
  <c r="C1146" i="6"/>
  <c r="D1146" i="6" s="1"/>
  <c r="E1146" i="6" s="1"/>
  <c r="D1145" i="6"/>
  <c r="E1145" i="6" s="1"/>
  <c r="D1144" i="6"/>
  <c r="E1144" i="6" s="1"/>
  <c r="D1143" i="6"/>
  <c r="E1143" i="6" s="1"/>
  <c r="C1142" i="6"/>
  <c r="D1141" i="6"/>
  <c r="E1141" i="6" s="1"/>
  <c r="D1140" i="6"/>
  <c r="E1140" i="6" s="1"/>
  <c r="D1139" i="6"/>
  <c r="E1139" i="6" s="1"/>
  <c r="D1138" i="6"/>
  <c r="E1138" i="6" s="1"/>
  <c r="D1137" i="6"/>
  <c r="E1137" i="6" s="1"/>
  <c r="D1136" i="6"/>
  <c r="E1136" i="6" s="1"/>
  <c r="D1135" i="6"/>
  <c r="E1135" i="6" s="1"/>
  <c r="D1134" i="6"/>
  <c r="E1134" i="6" s="1"/>
  <c r="D1133" i="6"/>
  <c r="E1133" i="6" s="1"/>
  <c r="D1132" i="6"/>
  <c r="E1132" i="6" s="1"/>
  <c r="C1131" i="6"/>
  <c r="D1131" i="6" s="1"/>
  <c r="E1131" i="6" s="1"/>
  <c r="D1130" i="6"/>
  <c r="E1130" i="6" s="1"/>
  <c r="D1129" i="6"/>
  <c r="E1129" i="6" s="1"/>
  <c r="D1128" i="6"/>
  <c r="E1128" i="6" s="1"/>
  <c r="D1127" i="6"/>
  <c r="E1127" i="6" s="1"/>
  <c r="C1126" i="6"/>
  <c r="D1126" i="6" s="1"/>
  <c r="E1126" i="6" s="1"/>
  <c r="D1125" i="6"/>
  <c r="E1125" i="6" s="1"/>
  <c r="D1124" i="6"/>
  <c r="E1124" i="6" s="1"/>
  <c r="D1123" i="6"/>
  <c r="E1123" i="6" s="1"/>
  <c r="D1122" i="6"/>
  <c r="E1122" i="6" s="1"/>
  <c r="D1121" i="6"/>
  <c r="E1121" i="6" s="1"/>
  <c r="D1120" i="6"/>
  <c r="E1120" i="6" s="1"/>
  <c r="D1119" i="6"/>
  <c r="E1119" i="6" s="1"/>
  <c r="D1118" i="6"/>
  <c r="E1118" i="6" s="1"/>
  <c r="D1117" i="6"/>
  <c r="E1117" i="6" s="1"/>
  <c r="D1116" i="6"/>
  <c r="E1116" i="6" s="1"/>
  <c r="D1115" i="6"/>
  <c r="E1115" i="6" s="1"/>
  <c r="D1114" i="6"/>
  <c r="E1114" i="6" s="1"/>
  <c r="D1113" i="6"/>
  <c r="E1113" i="6" s="1"/>
  <c r="D1112" i="6"/>
  <c r="E1112" i="6" s="1"/>
  <c r="D1111" i="6"/>
  <c r="E1111" i="6" s="1"/>
  <c r="D1110" i="6"/>
  <c r="E1110" i="6" s="1"/>
  <c r="D1109" i="6"/>
  <c r="E1109" i="6" s="1"/>
  <c r="C1108" i="6"/>
  <c r="D1108" i="6" s="1"/>
  <c r="E1108" i="6" s="1"/>
  <c r="D1107" i="6"/>
  <c r="E1107" i="6" s="1"/>
  <c r="D1106" i="6"/>
  <c r="E1106" i="6" s="1"/>
  <c r="D1105" i="6"/>
  <c r="E1105" i="6" s="1"/>
  <c r="C1104" i="6"/>
  <c r="D1104" i="6" s="1"/>
  <c r="E1104" i="6" s="1"/>
  <c r="D1103" i="6"/>
  <c r="E1103" i="6" s="1"/>
  <c r="D1102" i="6"/>
  <c r="E1102" i="6" s="1"/>
  <c r="C1101" i="6"/>
  <c r="C1096" i="6"/>
  <c r="C1094" i="6"/>
  <c r="C1092" i="6"/>
  <c r="D1084" i="6"/>
  <c r="E1084" i="6" s="1"/>
  <c r="D1083" i="6"/>
  <c r="E1083" i="6" s="1"/>
  <c r="D1082" i="6"/>
  <c r="E1082" i="6" s="1"/>
  <c r="C1081" i="6"/>
  <c r="D1081" i="6" s="1"/>
  <c r="E1081" i="6" s="1"/>
  <c r="D1080" i="6"/>
  <c r="E1080" i="6" s="1"/>
  <c r="D1079" i="6"/>
  <c r="E1079" i="6" s="1"/>
  <c r="D1078" i="6"/>
  <c r="E1078" i="6" s="1"/>
  <c r="D1077" i="6"/>
  <c r="E1077" i="6" s="1"/>
  <c r="C1076" i="6"/>
  <c r="D1076" i="6" s="1"/>
  <c r="E1076" i="6" s="1"/>
  <c r="D1075" i="6"/>
  <c r="E1075" i="6" s="1"/>
  <c r="C1074" i="6"/>
  <c r="D1074" i="6" s="1"/>
  <c r="E1074" i="6" s="1"/>
  <c r="D1073" i="6"/>
  <c r="E1073" i="6" s="1"/>
  <c r="D1072" i="6"/>
  <c r="E1072" i="6" s="1"/>
  <c r="D1071" i="6"/>
  <c r="E1071" i="6" s="1"/>
  <c r="D1070" i="6"/>
  <c r="E1070" i="6" s="1"/>
  <c r="D1069" i="6"/>
  <c r="E1069" i="6" s="1"/>
  <c r="D1068" i="6"/>
  <c r="E1068" i="6" s="1"/>
  <c r="C1067" i="6"/>
  <c r="D1067" i="6" s="1"/>
  <c r="E1067" i="6" s="1"/>
  <c r="D1066" i="6"/>
  <c r="E1066" i="6" s="1"/>
  <c r="C1065" i="6"/>
  <c r="D1065" i="6" s="1"/>
  <c r="E1065" i="6" s="1"/>
  <c r="D1064" i="6"/>
  <c r="E1064" i="6" s="1"/>
  <c r="D1063" i="6"/>
  <c r="E1063" i="6" s="1"/>
  <c r="D1062" i="6"/>
  <c r="E1062" i="6" s="1"/>
  <c r="D1061" i="6"/>
  <c r="E1061" i="6" s="1"/>
  <c r="D1060" i="6"/>
  <c r="E1060" i="6" s="1"/>
  <c r="C1059" i="6"/>
  <c r="D1059" i="6" s="1"/>
  <c r="E1059" i="6" s="1"/>
  <c r="D1058" i="6"/>
  <c r="E1058" i="6" s="1"/>
  <c r="D1057" i="6"/>
  <c r="E1057" i="6" s="1"/>
  <c r="C1056" i="6"/>
  <c r="D1056" i="6" s="1"/>
  <c r="E1056" i="6" s="1"/>
  <c r="D1055" i="6"/>
  <c r="E1055" i="6" s="1"/>
  <c r="D1054" i="6"/>
  <c r="E1054" i="6" s="1"/>
  <c r="D1053" i="6"/>
  <c r="E1053" i="6" s="1"/>
  <c r="C1052" i="6"/>
  <c r="D1052" i="6" s="1"/>
  <c r="E1052" i="6" s="1"/>
  <c r="D1051" i="6"/>
  <c r="E1051" i="6" s="1"/>
  <c r="D1050" i="6"/>
  <c r="E1050" i="6" s="1"/>
  <c r="D1049" i="6"/>
  <c r="E1049" i="6" s="1"/>
  <c r="D1048" i="6"/>
  <c r="E1048" i="6" s="1"/>
  <c r="D1047" i="6"/>
  <c r="E1047" i="6" s="1"/>
  <c r="D1046" i="6"/>
  <c r="E1046" i="6" s="1"/>
  <c r="D1045" i="6"/>
  <c r="E1045" i="6" s="1"/>
  <c r="D1044" i="6"/>
  <c r="E1044" i="6" s="1"/>
  <c r="D1043" i="6"/>
  <c r="E1043" i="6" s="1"/>
  <c r="D1042" i="6"/>
  <c r="E1042" i="6" s="1"/>
  <c r="C1041" i="6"/>
  <c r="D1041" i="6" s="1"/>
  <c r="E1041" i="6" s="1"/>
  <c r="D1040" i="6"/>
  <c r="E1040" i="6" s="1"/>
  <c r="D1039" i="6"/>
  <c r="E1039" i="6" s="1"/>
  <c r="D1038" i="6"/>
  <c r="E1038" i="6" s="1"/>
  <c r="D1037" i="6"/>
  <c r="E1037" i="6" s="1"/>
  <c r="C1036" i="6"/>
  <c r="D1036" i="6" s="1"/>
  <c r="E1036" i="6" s="1"/>
  <c r="D1035" i="6"/>
  <c r="E1035" i="6" s="1"/>
  <c r="D1034" i="6"/>
  <c r="E1034" i="6" s="1"/>
  <c r="D1033" i="6"/>
  <c r="E1033" i="6" s="1"/>
  <c r="D1032" i="6"/>
  <c r="E1032" i="6" s="1"/>
  <c r="C1031" i="6"/>
  <c r="D1031" i="6" s="1"/>
  <c r="E1031" i="6" s="1"/>
  <c r="D1030" i="6"/>
  <c r="E1030" i="6" s="1"/>
  <c r="D1029" i="6"/>
  <c r="E1029" i="6" s="1"/>
  <c r="D1028" i="6"/>
  <c r="E1028" i="6" s="1"/>
  <c r="D1027" i="6"/>
  <c r="E1027" i="6" s="1"/>
  <c r="C1026" i="6"/>
  <c r="D1026" i="6" s="1"/>
  <c r="E1026" i="6" s="1"/>
  <c r="D1025" i="6"/>
  <c r="E1025" i="6" s="1"/>
  <c r="D1024" i="6"/>
  <c r="E1024" i="6" s="1"/>
  <c r="D1023" i="6"/>
  <c r="E1023" i="6" s="1"/>
  <c r="D1022" i="6"/>
  <c r="E1022" i="6" s="1"/>
  <c r="D1021" i="6"/>
  <c r="E1021" i="6" s="1"/>
  <c r="D1020" i="6"/>
  <c r="E1020" i="6" s="1"/>
  <c r="D1019" i="6"/>
  <c r="E1019" i="6" s="1"/>
  <c r="C1018" i="6"/>
  <c r="D1018" i="6" s="1"/>
  <c r="E1018" i="6" s="1"/>
  <c r="D1017" i="6"/>
  <c r="E1017" i="6" s="1"/>
  <c r="D1016" i="6"/>
  <c r="E1016" i="6" s="1"/>
  <c r="D1015" i="6"/>
  <c r="E1015" i="6" s="1"/>
  <c r="C1014" i="6"/>
  <c r="D1014" i="6" s="1"/>
  <c r="E1014" i="6" s="1"/>
  <c r="D1013" i="6"/>
  <c r="E1013" i="6" s="1"/>
  <c r="D1012" i="6"/>
  <c r="E1012" i="6" s="1"/>
  <c r="C1011" i="6"/>
  <c r="C1005" i="6"/>
  <c r="D1005" i="6" s="1"/>
  <c r="E1005" i="6" s="1"/>
  <c r="D1004" i="6"/>
  <c r="E1004" i="6" s="1"/>
  <c r="D1003" i="6"/>
  <c r="E1003" i="6" s="1"/>
  <c r="D1002" i="6"/>
  <c r="E1002" i="6" s="1"/>
  <c r="D1001" i="6"/>
  <c r="E1001" i="6" s="1"/>
  <c r="D1000" i="6"/>
  <c r="E1000" i="6" s="1"/>
  <c r="D999" i="6"/>
  <c r="E999" i="6" s="1"/>
  <c r="D998" i="6"/>
  <c r="E998" i="6" s="1"/>
  <c r="D996" i="6"/>
  <c r="E996" i="6" s="1"/>
  <c r="D995" i="6"/>
  <c r="E995" i="6" s="1"/>
  <c r="D994" i="6"/>
  <c r="E994" i="6" s="1"/>
  <c r="C993" i="6"/>
  <c r="D993" i="6" s="1"/>
  <c r="E993" i="6" s="1"/>
  <c r="D992" i="6"/>
  <c r="E992" i="6" s="1"/>
  <c r="D991" i="6"/>
  <c r="E991" i="6" s="1"/>
  <c r="D990" i="6"/>
  <c r="E990" i="6" s="1"/>
  <c r="D989" i="6"/>
  <c r="E989" i="6" s="1"/>
  <c r="C988" i="6"/>
  <c r="D988" i="6" s="1"/>
  <c r="E988" i="6" s="1"/>
  <c r="D987" i="6"/>
  <c r="E987" i="6" s="1"/>
  <c r="C986" i="6"/>
  <c r="D986" i="6" s="1"/>
  <c r="E986" i="6" s="1"/>
  <c r="D985" i="6"/>
  <c r="E985" i="6" s="1"/>
  <c r="D984" i="6"/>
  <c r="E984" i="6" s="1"/>
  <c r="D983" i="6"/>
  <c r="E983" i="6" s="1"/>
  <c r="D982" i="6"/>
  <c r="E982" i="6" s="1"/>
  <c r="D981" i="6"/>
  <c r="E981" i="6" s="1"/>
  <c r="D980" i="6"/>
  <c r="E980" i="6" s="1"/>
  <c r="C979" i="6"/>
  <c r="D979" i="6" s="1"/>
  <c r="E979" i="6" s="1"/>
  <c r="D978" i="6"/>
  <c r="E978" i="6" s="1"/>
  <c r="C977" i="6"/>
  <c r="D977" i="6" s="1"/>
  <c r="E977" i="6" s="1"/>
  <c r="D976" i="6"/>
  <c r="E976" i="6" s="1"/>
  <c r="D975" i="6"/>
  <c r="E975" i="6" s="1"/>
  <c r="D974" i="6"/>
  <c r="E974" i="6" s="1"/>
  <c r="D973" i="6"/>
  <c r="E973" i="6" s="1"/>
  <c r="D972" i="6"/>
  <c r="E972" i="6" s="1"/>
  <c r="C971" i="6"/>
  <c r="D971" i="6" s="1"/>
  <c r="E971" i="6" s="1"/>
  <c r="D970" i="6"/>
  <c r="E970" i="6" s="1"/>
  <c r="D969" i="6"/>
  <c r="E969" i="6" s="1"/>
  <c r="C968" i="6"/>
  <c r="D968" i="6" s="1"/>
  <c r="E968" i="6" s="1"/>
  <c r="D967" i="6"/>
  <c r="E967" i="6" s="1"/>
  <c r="D966" i="6"/>
  <c r="E966" i="6" s="1"/>
  <c r="D965" i="6"/>
  <c r="E965" i="6" s="1"/>
  <c r="C964" i="6"/>
  <c r="D964" i="6" s="1"/>
  <c r="E964" i="6" s="1"/>
  <c r="D963" i="6"/>
  <c r="E963" i="6" s="1"/>
  <c r="D962" i="6"/>
  <c r="E962" i="6" s="1"/>
  <c r="D961" i="6"/>
  <c r="E961" i="6" s="1"/>
  <c r="D960" i="6"/>
  <c r="E960" i="6" s="1"/>
  <c r="D959" i="6"/>
  <c r="E959" i="6" s="1"/>
  <c r="D958" i="6"/>
  <c r="E958" i="6" s="1"/>
  <c r="D957" i="6"/>
  <c r="E957" i="6" s="1"/>
  <c r="D956" i="6"/>
  <c r="E956" i="6" s="1"/>
  <c r="D955" i="6"/>
  <c r="E955" i="6" s="1"/>
  <c r="D954" i="6"/>
  <c r="E954" i="6" s="1"/>
  <c r="C953" i="6"/>
  <c r="D953" i="6" s="1"/>
  <c r="E953" i="6" s="1"/>
  <c r="D952" i="6"/>
  <c r="E952" i="6" s="1"/>
  <c r="D951" i="6"/>
  <c r="E951" i="6" s="1"/>
  <c r="D950" i="6"/>
  <c r="E950" i="6" s="1"/>
  <c r="D949" i="6"/>
  <c r="E949" i="6" s="1"/>
  <c r="C948" i="6"/>
  <c r="D948" i="6" s="1"/>
  <c r="E948" i="6" s="1"/>
  <c r="D947" i="6"/>
  <c r="E947" i="6" s="1"/>
  <c r="D946" i="6"/>
  <c r="E946" i="6" s="1"/>
  <c r="C945" i="6"/>
  <c r="D945" i="6" s="1"/>
  <c r="E945" i="6" s="1"/>
  <c r="D944" i="6"/>
  <c r="E944" i="6" s="1"/>
  <c r="C943" i="6"/>
  <c r="D943" i="6" s="1"/>
  <c r="E943" i="6" s="1"/>
  <c r="D942" i="6"/>
  <c r="E942" i="6" s="1"/>
  <c r="D941" i="6"/>
  <c r="E941" i="6" s="1"/>
  <c r="D940" i="6"/>
  <c r="E940" i="6" s="1"/>
  <c r="D939" i="6"/>
  <c r="E939" i="6" s="1"/>
  <c r="C938" i="6"/>
  <c r="D938" i="6" s="1"/>
  <c r="E938" i="6" s="1"/>
  <c r="D937" i="6"/>
  <c r="E937" i="6" s="1"/>
  <c r="D936" i="6"/>
  <c r="E936" i="6" s="1"/>
  <c r="D935" i="6"/>
  <c r="E935" i="6" s="1"/>
  <c r="D934" i="6"/>
  <c r="E934" i="6" s="1"/>
  <c r="D933" i="6"/>
  <c r="E933" i="6" s="1"/>
  <c r="D932" i="6"/>
  <c r="E932" i="6" s="1"/>
  <c r="D931" i="6"/>
  <c r="E931" i="6" s="1"/>
  <c r="C930" i="6"/>
  <c r="D930" i="6" s="1"/>
  <c r="E930" i="6" s="1"/>
  <c r="D929" i="6"/>
  <c r="E929" i="6" s="1"/>
  <c r="D928" i="6"/>
  <c r="E928" i="6" s="1"/>
  <c r="D927" i="6"/>
  <c r="E927" i="6" s="1"/>
  <c r="C926" i="6"/>
  <c r="D926" i="6" s="1"/>
  <c r="E926" i="6" s="1"/>
  <c r="D925" i="6"/>
  <c r="E925" i="6" s="1"/>
  <c r="D924" i="6"/>
  <c r="E924" i="6" s="1"/>
  <c r="C923" i="6"/>
  <c r="C918" i="6"/>
  <c r="C916" i="6"/>
  <c r="C914" i="6"/>
  <c r="D902" i="6"/>
  <c r="E902" i="6" s="1"/>
  <c r="D901" i="6"/>
  <c r="E901" i="6" s="1"/>
  <c r="D900" i="6"/>
  <c r="D899" i="6"/>
  <c r="E899" i="6" s="1"/>
  <c r="C898" i="6"/>
  <c r="D898" i="6" s="1"/>
  <c r="E898" i="6" s="1"/>
  <c r="D897" i="6"/>
  <c r="E897" i="6" s="1"/>
  <c r="D896" i="6"/>
  <c r="E896" i="6" s="1"/>
  <c r="D895" i="6"/>
  <c r="E895" i="6" s="1"/>
  <c r="D894" i="6"/>
  <c r="E894" i="6" s="1"/>
  <c r="C893" i="6"/>
  <c r="D893" i="6" s="1"/>
  <c r="E893" i="6" s="1"/>
  <c r="D892" i="6"/>
  <c r="E892" i="6" s="1"/>
  <c r="C891" i="6"/>
  <c r="D891" i="6" s="1"/>
  <c r="E891" i="6" s="1"/>
  <c r="D890" i="6"/>
  <c r="D889" i="6"/>
  <c r="E889" i="6" s="1"/>
  <c r="D888" i="6"/>
  <c r="E888" i="6" s="1"/>
  <c r="D887" i="6"/>
  <c r="E887" i="6" s="1"/>
  <c r="D886" i="6"/>
  <c r="E886" i="6" s="1"/>
  <c r="D885" i="6"/>
  <c r="E885" i="6" s="1"/>
  <c r="C884" i="6"/>
  <c r="D884" i="6" s="1"/>
  <c r="E884" i="6" s="1"/>
  <c r="D883" i="6"/>
  <c r="E883" i="6" s="1"/>
  <c r="C882" i="6"/>
  <c r="D882" i="6" s="1"/>
  <c r="E882" i="6" s="1"/>
  <c r="D881" i="6"/>
  <c r="E881" i="6" s="1"/>
  <c r="D880" i="6"/>
  <c r="E880" i="6" s="1"/>
  <c r="D879" i="6"/>
  <c r="E879" i="6" s="1"/>
  <c r="D878" i="6"/>
  <c r="E878" i="6" s="1"/>
  <c r="D877" i="6"/>
  <c r="E877" i="6" s="1"/>
  <c r="C876" i="6"/>
  <c r="D876" i="6" s="1"/>
  <c r="E876" i="6" s="1"/>
  <c r="D875" i="6"/>
  <c r="E875" i="6" s="1"/>
  <c r="D874" i="6"/>
  <c r="E874" i="6" s="1"/>
  <c r="C873" i="6"/>
  <c r="D873" i="6" s="1"/>
  <c r="E873" i="6" s="1"/>
  <c r="D872" i="6"/>
  <c r="E872" i="6" s="1"/>
  <c r="D871" i="6"/>
  <c r="E871" i="6" s="1"/>
  <c r="D870" i="6"/>
  <c r="E870" i="6" s="1"/>
  <c r="C869" i="6"/>
  <c r="D869" i="6" s="1"/>
  <c r="E869" i="6" s="1"/>
  <c r="D868" i="6"/>
  <c r="E868" i="6" s="1"/>
  <c r="D867" i="6"/>
  <c r="E867" i="6" s="1"/>
  <c r="D866" i="6"/>
  <c r="E866" i="6" s="1"/>
  <c r="D865" i="6"/>
  <c r="E865" i="6" s="1"/>
  <c r="D864" i="6"/>
  <c r="E864" i="6" s="1"/>
  <c r="D863" i="6"/>
  <c r="E863" i="6" s="1"/>
  <c r="D862" i="6"/>
  <c r="E862" i="6" s="1"/>
  <c r="D861" i="6"/>
  <c r="E861" i="6" s="1"/>
  <c r="D860" i="6"/>
  <c r="E860" i="6" s="1"/>
  <c r="D859" i="6"/>
  <c r="E859" i="6" s="1"/>
  <c r="C858" i="6"/>
  <c r="D858" i="6" s="1"/>
  <c r="E858" i="6" s="1"/>
  <c r="D857" i="6"/>
  <c r="E857" i="6" s="1"/>
  <c r="D856" i="6"/>
  <c r="E856" i="6" s="1"/>
  <c r="D855" i="6"/>
  <c r="E855" i="6" s="1"/>
  <c r="D854" i="6"/>
  <c r="E854" i="6" s="1"/>
  <c r="C853" i="6"/>
  <c r="D853" i="6" s="1"/>
  <c r="E853" i="6" s="1"/>
  <c r="D852" i="6"/>
  <c r="E852" i="6" s="1"/>
  <c r="D851" i="6"/>
  <c r="E851" i="6" s="1"/>
  <c r="D850" i="6"/>
  <c r="E850" i="6" s="1"/>
  <c r="D849" i="6"/>
  <c r="E849" i="6" s="1"/>
  <c r="C848" i="6"/>
  <c r="D848" i="6" s="1"/>
  <c r="E848" i="6" s="1"/>
  <c r="D847" i="6"/>
  <c r="E847" i="6" s="1"/>
  <c r="D846" i="6"/>
  <c r="E846" i="6" s="1"/>
  <c r="D845" i="6"/>
  <c r="E845" i="6" s="1"/>
  <c r="D844" i="6"/>
  <c r="E844" i="6" s="1"/>
  <c r="C843" i="6"/>
  <c r="D843" i="6" s="1"/>
  <c r="E843" i="6" s="1"/>
  <c r="D842" i="6"/>
  <c r="E842" i="6" s="1"/>
  <c r="D841" i="6"/>
  <c r="E841" i="6" s="1"/>
  <c r="D840" i="6"/>
  <c r="E840" i="6" s="1"/>
  <c r="D839" i="6"/>
  <c r="E839" i="6" s="1"/>
  <c r="D838" i="6"/>
  <c r="E838" i="6" s="1"/>
  <c r="D837" i="6"/>
  <c r="E837" i="6" s="1"/>
  <c r="D836" i="6"/>
  <c r="E836" i="6" s="1"/>
  <c r="C835" i="6"/>
  <c r="D835" i="6" s="1"/>
  <c r="E835" i="6" s="1"/>
  <c r="D834" i="6"/>
  <c r="E834" i="6" s="1"/>
  <c r="D833" i="6"/>
  <c r="E833" i="6" s="1"/>
  <c r="D832" i="6"/>
  <c r="E832" i="6" s="1"/>
  <c r="C831" i="6"/>
  <c r="D831" i="6" s="1"/>
  <c r="E831" i="6" s="1"/>
  <c r="D830" i="6"/>
  <c r="E830" i="6" s="1"/>
  <c r="D829" i="6"/>
  <c r="E829" i="6" s="1"/>
  <c r="C828" i="6"/>
  <c r="C823" i="6"/>
  <c r="C821" i="6"/>
  <c r="C819" i="6"/>
  <c r="C814" i="6"/>
  <c r="D814" i="6" s="1"/>
  <c r="E814" i="6" s="1"/>
  <c r="D813" i="6"/>
  <c r="E813" i="6" s="1"/>
  <c r="D812" i="6"/>
  <c r="E812" i="6" s="1"/>
  <c r="D811" i="6"/>
  <c r="E811" i="6" s="1"/>
  <c r="D810" i="6"/>
  <c r="E810" i="6" s="1"/>
  <c r="D809" i="6"/>
  <c r="E809" i="6" s="1"/>
  <c r="D808" i="6"/>
  <c r="E808" i="6" s="1"/>
  <c r="D807" i="6"/>
  <c r="E807" i="6" s="1"/>
  <c r="D805" i="6"/>
  <c r="E805" i="6" s="1"/>
  <c r="D804" i="6"/>
  <c r="E804" i="6" s="1"/>
  <c r="D803" i="6"/>
  <c r="E803" i="6" s="1"/>
  <c r="C802" i="6"/>
  <c r="D802" i="6" s="1"/>
  <c r="E802" i="6" s="1"/>
  <c r="D801" i="6"/>
  <c r="E801" i="6" s="1"/>
  <c r="D800" i="6"/>
  <c r="E800" i="6" s="1"/>
  <c r="D799" i="6"/>
  <c r="E799" i="6" s="1"/>
  <c r="D798" i="6"/>
  <c r="E798" i="6" s="1"/>
  <c r="C797" i="6"/>
  <c r="D797" i="6" s="1"/>
  <c r="E797" i="6" s="1"/>
  <c r="D796" i="6"/>
  <c r="E796" i="6" s="1"/>
  <c r="C795" i="6"/>
  <c r="D795" i="6" s="1"/>
  <c r="E795" i="6" s="1"/>
  <c r="D794" i="6"/>
  <c r="E794" i="6" s="1"/>
  <c r="D793" i="6"/>
  <c r="E793" i="6" s="1"/>
  <c r="D792" i="6"/>
  <c r="E792" i="6" s="1"/>
  <c r="D791" i="6"/>
  <c r="E791" i="6" s="1"/>
  <c r="D790" i="6"/>
  <c r="E790" i="6" s="1"/>
  <c r="D789" i="6"/>
  <c r="E789" i="6" s="1"/>
  <c r="C788" i="6"/>
  <c r="D788" i="6" s="1"/>
  <c r="E788" i="6" s="1"/>
  <c r="D787" i="6"/>
  <c r="E787" i="6" s="1"/>
  <c r="C786" i="6"/>
  <c r="D786" i="6" s="1"/>
  <c r="E786" i="6" s="1"/>
  <c r="D785" i="6"/>
  <c r="E785" i="6" s="1"/>
  <c r="D784" i="6"/>
  <c r="E784" i="6" s="1"/>
  <c r="D783" i="6"/>
  <c r="E783" i="6" s="1"/>
  <c r="D782" i="6"/>
  <c r="E782" i="6" s="1"/>
  <c r="D781" i="6"/>
  <c r="E781" i="6" s="1"/>
  <c r="C780" i="6"/>
  <c r="D780" i="6" s="1"/>
  <c r="E780" i="6" s="1"/>
  <c r="D779" i="6"/>
  <c r="E779" i="6" s="1"/>
  <c r="D778" i="6"/>
  <c r="E778" i="6" s="1"/>
  <c r="C777" i="6"/>
  <c r="D777" i="6" s="1"/>
  <c r="E777" i="6" s="1"/>
  <c r="D776" i="6"/>
  <c r="E776" i="6" s="1"/>
  <c r="D775" i="6"/>
  <c r="E775" i="6" s="1"/>
  <c r="D774" i="6"/>
  <c r="E774" i="6" s="1"/>
  <c r="C773" i="6"/>
  <c r="D773" i="6" s="1"/>
  <c r="E773" i="6" s="1"/>
  <c r="D772" i="6"/>
  <c r="E772" i="6" s="1"/>
  <c r="D771" i="6"/>
  <c r="E771" i="6" s="1"/>
  <c r="D770" i="6"/>
  <c r="E770" i="6" s="1"/>
  <c r="D769" i="6"/>
  <c r="E769" i="6" s="1"/>
  <c r="D768" i="6"/>
  <c r="E768" i="6" s="1"/>
  <c r="D767" i="6"/>
  <c r="E767" i="6" s="1"/>
  <c r="D766" i="6"/>
  <c r="E766" i="6" s="1"/>
  <c r="D765" i="6"/>
  <c r="E765" i="6" s="1"/>
  <c r="D764" i="6"/>
  <c r="E764" i="6" s="1"/>
  <c r="D763" i="6"/>
  <c r="E763" i="6" s="1"/>
  <c r="C762" i="6"/>
  <c r="D762" i="6" s="1"/>
  <c r="E762" i="6" s="1"/>
  <c r="D761" i="6"/>
  <c r="E761" i="6" s="1"/>
  <c r="D760" i="6"/>
  <c r="E760" i="6" s="1"/>
  <c r="D759" i="6"/>
  <c r="E759" i="6" s="1"/>
  <c r="D758" i="6"/>
  <c r="E758" i="6" s="1"/>
  <c r="C757" i="6"/>
  <c r="D757" i="6" s="1"/>
  <c r="E757" i="6" s="1"/>
  <c r="D756" i="6"/>
  <c r="E756" i="6" s="1"/>
  <c r="D755" i="6"/>
  <c r="E755" i="6" s="1"/>
  <c r="D754" i="6"/>
  <c r="E754" i="6" s="1"/>
  <c r="D753" i="6"/>
  <c r="E753" i="6" s="1"/>
  <c r="D752" i="6"/>
  <c r="E752" i="6" s="1"/>
  <c r="D751" i="6"/>
  <c r="E751" i="6" s="1"/>
  <c r="D750" i="6"/>
  <c r="E750" i="6" s="1"/>
  <c r="D749" i="6"/>
  <c r="E749" i="6" s="1"/>
  <c r="D748" i="6"/>
  <c r="E748" i="6" s="1"/>
  <c r="D747" i="6"/>
  <c r="E747" i="6" s="1"/>
  <c r="D746" i="6"/>
  <c r="E746" i="6" s="1"/>
  <c r="D745" i="6"/>
  <c r="E745" i="6" s="1"/>
  <c r="D744" i="6"/>
  <c r="E744" i="6" s="1"/>
  <c r="D743" i="6"/>
  <c r="E743" i="6" s="1"/>
  <c r="D742" i="6"/>
  <c r="E742" i="6" s="1"/>
  <c r="D741" i="6"/>
  <c r="E741" i="6" s="1"/>
  <c r="D740" i="6"/>
  <c r="E740" i="6" s="1"/>
  <c r="C739" i="6"/>
  <c r="D739" i="6" s="1"/>
  <c r="E739" i="6" s="1"/>
  <c r="D738" i="6"/>
  <c r="E738" i="6" s="1"/>
  <c r="D737" i="6"/>
  <c r="E737" i="6" s="1"/>
  <c r="D736" i="6"/>
  <c r="E736" i="6" s="1"/>
  <c r="C735" i="6"/>
  <c r="D734" i="6"/>
  <c r="E734" i="6" s="1"/>
  <c r="D733" i="6"/>
  <c r="E733" i="6" s="1"/>
  <c r="C732" i="6"/>
  <c r="D732" i="6" s="1"/>
  <c r="E732" i="6" s="1"/>
  <c r="C727" i="6"/>
  <c r="C725" i="6"/>
  <c r="C723" i="6"/>
  <c r="D708" i="6"/>
  <c r="E708" i="6" s="1"/>
  <c r="D707" i="6"/>
  <c r="E707" i="6" s="1"/>
  <c r="D706" i="6"/>
  <c r="E706" i="6" s="1"/>
  <c r="C705" i="6"/>
  <c r="D705" i="6" s="1"/>
  <c r="E705" i="6" s="1"/>
  <c r="D704" i="6"/>
  <c r="E704" i="6" s="1"/>
  <c r="D703" i="6"/>
  <c r="E703" i="6" s="1"/>
  <c r="D702" i="6"/>
  <c r="E702" i="6" s="1"/>
  <c r="C701" i="6"/>
  <c r="D700" i="6"/>
  <c r="E700" i="6" s="1"/>
  <c r="C699" i="6"/>
  <c r="D699" i="6" s="1"/>
  <c r="E699" i="6" s="1"/>
  <c r="D698" i="6"/>
  <c r="E698" i="6" s="1"/>
  <c r="D697" i="6"/>
  <c r="E697" i="6" s="1"/>
  <c r="D696" i="6"/>
  <c r="E696" i="6" s="1"/>
  <c r="D695" i="6"/>
  <c r="E695" i="6" s="1"/>
  <c r="D694" i="6"/>
  <c r="E694" i="6" s="1"/>
  <c r="C693" i="6"/>
  <c r="D693" i="6" s="1"/>
  <c r="E693" i="6" s="1"/>
  <c r="D692" i="6"/>
  <c r="E692" i="6" s="1"/>
  <c r="C691" i="6"/>
  <c r="D691" i="6" s="1"/>
  <c r="E691" i="6" s="1"/>
  <c r="D690" i="6"/>
  <c r="E690" i="6" s="1"/>
  <c r="D689" i="6"/>
  <c r="E689" i="6" s="1"/>
  <c r="D688" i="6"/>
  <c r="E688" i="6" s="1"/>
  <c r="D687" i="6"/>
  <c r="E687" i="6" s="1"/>
  <c r="D686" i="6"/>
  <c r="E686" i="6" s="1"/>
  <c r="D685" i="6"/>
  <c r="E685" i="6" s="1"/>
  <c r="C684" i="6"/>
  <c r="D684" i="6" s="1"/>
  <c r="E684" i="6" s="1"/>
  <c r="D683" i="6"/>
  <c r="E683" i="6" s="1"/>
  <c r="D682" i="6"/>
  <c r="E682" i="6" s="1"/>
  <c r="C681" i="6"/>
  <c r="D681" i="6" s="1"/>
  <c r="E681" i="6" s="1"/>
  <c r="D680" i="6"/>
  <c r="E680" i="6" s="1"/>
  <c r="D679" i="6"/>
  <c r="E679" i="6" s="1"/>
  <c r="D678" i="6"/>
  <c r="E678" i="6" s="1"/>
  <c r="C677" i="6"/>
  <c r="D677" i="6" s="1"/>
  <c r="E677" i="6" s="1"/>
  <c r="D676" i="6"/>
  <c r="E676" i="6" s="1"/>
  <c r="D675" i="6"/>
  <c r="E675" i="6" s="1"/>
  <c r="D674" i="6"/>
  <c r="E674" i="6" s="1"/>
  <c r="D673" i="6"/>
  <c r="E673" i="6" s="1"/>
  <c r="D672" i="6"/>
  <c r="E672" i="6" s="1"/>
  <c r="D671" i="6"/>
  <c r="E671" i="6" s="1"/>
  <c r="D670" i="6"/>
  <c r="E670" i="6" s="1"/>
  <c r="D669" i="6"/>
  <c r="E669" i="6" s="1"/>
  <c r="D668" i="6"/>
  <c r="E668" i="6" s="1"/>
  <c r="C667" i="6"/>
  <c r="D667" i="6" s="1"/>
  <c r="E667" i="6" s="1"/>
  <c r="D666" i="6"/>
  <c r="E666" i="6" s="1"/>
  <c r="C665" i="6"/>
  <c r="D665" i="6" s="1"/>
  <c r="E665" i="6" s="1"/>
  <c r="D664" i="6"/>
  <c r="E664" i="6" s="1"/>
  <c r="D663" i="6"/>
  <c r="E663" i="6" s="1"/>
  <c r="C662" i="6"/>
  <c r="D662" i="6" s="1"/>
  <c r="E662" i="6" s="1"/>
  <c r="D661" i="6"/>
  <c r="E661" i="6" s="1"/>
  <c r="D660" i="6"/>
  <c r="E660" i="6" s="1"/>
  <c r="C659" i="6"/>
  <c r="D659" i="6" s="1"/>
  <c r="E659" i="6" s="1"/>
  <c r="D658" i="6"/>
  <c r="E658" i="6" s="1"/>
  <c r="C657" i="6"/>
  <c r="D657" i="6" s="1"/>
  <c r="E657" i="6" s="1"/>
  <c r="D656" i="6"/>
  <c r="E656" i="6" s="1"/>
  <c r="D655" i="6"/>
  <c r="E655" i="6" s="1"/>
  <c r="D654" i="6"/>
  <c r="E654" i="6" s="1"/>
  <c r="D653" i="6"/>
  <c r="E653" i="6" s="1"/>
  <c r="C652" i="6"/>
  <c r="D652" i="6" s="1"/>
  <c r="E652" i="6" s="1"/>
  <c r="D651" i="6"/>
  <c r="E651" i="6" s="1"/>
  <c r="D650" i="6"/>
  <c r="E650" i="6" s="1"/>
  <c r="D649" i="6"/>
  <c r="E649" i="6" s="1"/>
  <c r="C648" i="6"/>
  <c r="D648" i="6" s="1"/>
  <c r="E648" i="6" s="1"/>
  <c r="D647" i="6"/>
  <c r="E647" i="6" s="1"/>
  <c r="D646" i="6"/>
  <c r="E646" i="6" s="1"/>
  <c r="D645" i="6"/>
  <c r="E645" i="6" s="1"/>
  <c r="C644" i="6"/>
  <c r="D644" i="6" s="1"/>
  <c r="E644" i="6" s="1"/>
  <c r="D643" i="6"/>
  <c r="E643" i="6" s="1"/>
  <c r="D642" i="6"/>
  <c r="E642" i="6" s="1"/>
  <c r="D641" i="6"/>
  <c r="E641" i="6" s="1"/>
  <c r="C640" i="6"/>
  <c r="D640" i="6" s="1"/>
  <c r="E640" i="6" s="1"/>
  <c r="D639" i="6"/>
  <c r="E639" i="6" s="1"/>
  <c r="D638" i="6"/>
  <c r="E638" i="6" s="1"/>
  <c r="C637" i="6"/>
  <c r="D637" i="6" s="1"/>
  <c r="E637" i="6" s="1"/>
  <c r="E635" i="6"/>
  <c r="D622" i="6"/>
  <c r="E622" i="6" s="1"/>
  <c r="D621" i="6"/>
  <c r="E621" i="6" s="1"/>
  <c r="D620" i="6"/>
  <c r="E620" i="6" s="1"/>
  <c r="D619" i="6"/>
  <c r="E619" i="6" s="1"/>
  <c r="D618" i="6"/>
  <c r="E618" i="6" s="1"/>
  <c r="D617" i="6"/>
  <c r="E617" i="6" s="1"/>
  <c r="D616" i="6"/>
  <c r="E616" i="6" s="1"/>
  <c r="D615" i="6"/>
  <c r="E615" i="6" s="1"/>
  <c r="D614" i="6"/>
  <c r="E614" i="6" s="1"/>
  <c r="D613" i="6"/>
  <c r="E613" i="6" s="1"/>
  <c r="D612" i="6"/>
  <c r="E612" i="6" s="1"/>
  <c r="D611" i="6"/>
  <c r="E611" i="6" s="1"/>
  <c r="D610" i="6"/>
  <c r="E610" i="6" s="1"/>
  <c r="D609" i="6"/>
  <c r="E609" i="6" s="1"/>
  <c r="D608" i="6"/>
  <c r="E608" i="6" s="1"/>
  <c r="D607" i="6"/>
  <c r="E607" i="6" s="1"/>
  <c r="D606" i="6"/>
  <c r="E606" i="6" s="1"/>
  <c r="C605" i="6"/>
  <c r="D605" i="6" s="1"/>
  <c r="E605" i="6" s="1"/>
  <c r="D604" i="6"/>
  <c r="E604" i="6" s="1"/>
  <c r="C603" i="6"/>
  <c r="D603" i="6" s="1"/>
  <c r="E603" i="6" s="1"/>
  <c r="D602" i="6"/>
  <c r="E602" i="6" s="1"/>
  <c r="D601" i="6"/>
  <c r="E601" i="6" s="1"/>
  <c r="D600" i="6"/>
  <c r="E600" i="6" s="1"/>
  <c r="D599" i="6"/>
  <c r="E599" i="6" s="1"/>
  <c r="D598" i="6"/>
  <c r="E598" i="6" s="1"/>
  <c r="C597" i="6"/>
  <c r="D597" i="6" s="1"/>
  <c r="E597" i="6" s="1"/>
  <c r="D596" i="6"/>
  <c r="E596" i="6" s="1"/>
  <c r="D595" i="6"/>
  <c r="E595" i="6" s="1"/>
  <c r="C594" i="6"/>
  <c r="D594" i="6" s="1"/>
  <c r="E594" i="6" s="1"/>
  <c r="D593" i="6"/>
  <c r="E593" i="6" s="1"/>
  <c r="D592" i="6"/>
  <c r="E592" i="6" s="1"/>
  <c r="D591" i="6"/>
  <c r="E591" i="6" s="1"/>
  <c r="C590" i="6"/>
  <c r="D590" i="6" s="1"/>
  <c r="E590" i="6" s="1"/>
  <c r="D589" i="6"/>
  <c r="E589" i="6" s="1"/>
  <c r="D588" i="6"/>
  <c r="E588" i="6" s="1"/>
  <c r="D587" i="6"/>
  <c r="E587" i="6" s="1"/>
  <c r="D586" i="6"/>
  <c r="E586" i="6" s="1"/>
  <c r="D585" i="6"/>
  <c r="E585" i="6" s="1"/>
  <c r="D584" i="6"/>
  <c r="E584" i="6" s="1"/>
  <c r="D583" i="6"/>
  <c r="E583" i="6" s="1"/>
  <c r="D582" i="6"/>
  <c r="E582" i="6" s="1"/>
  <c r="D581" i="6"/>
  <c r="E581" i="6" s="1"/>
  <c r="C580" i="6"/>
  <c r="D580" i="6" s="1"/>
  <c r="E580" i="6" s="1"/>
  <c r="D579" i="6"/>
  <c r="E579" i="6" s="1"/>
  <c r="D578" i="6"/>
  <c r="E578" i="6" s="1"/>
  <c r="D577" i="6"/>
  <c r="E577" i="6" s="1"/>
  <c r="D576" i="6"/>
  <c r="E576" i="6" s="1"/>
  <c r="C575" i="6"/>
  <c r="D575" i="6" s="1"/>
  <c r="E575" i="6" s="1"/>
  <c r="D574" i="6"/>
  <c r="E574" i="6" s="1"/>
  <c r="D573" i="6"/>
  <c r="E573" i="6" s="1"/>
  <c r="D572" i="6"/>
  <c r="E572" i="6" s="1"/>
  <c r="D571" i="6"/>
  <c r="E571" i="6" s="1"/>
  <c r="D570" i="6"/>
  <c r="E570" i="6" s="1"/>
  <c r="D569" i="6"/>
  <c r="E569" i="6" s="1"/>
  <c r="D568" i="6"/>
  <c r="E568" i="6" s="1"/>
  <c r="D567" i="6"/>
  <c r="E567" i="6" s="1"/>
  <c r="D566" i="6"/>
  <c r="E566" i="6" s="1"/>
  <c r="C565" i="6"/>
  <c r="D565" i="6" s="1"/>
  <c r="E565" i="6" s="1"/>
  <c r="D564" i="6"/>
  <c r="E564" i="6" s="1"/>
  <c r="D563" i="6"/>
  <c r="E563" i="6" s="1"/>
  <c r="D562" i="6"/>
  <c r="E562" i="6" s="1"/>
  <c r="D561" i="6"/>
  <c r="E561" i="6" s="1"/>
  <c r="D560" i="6"/>
  <c r="E560" i="6" s="1"/>
  <c r="D559" i="6"/>
  <c r="E559" i="6" s="1"/>
  <c r="D558" i="6"/>
  <c r="E558" i="6" s="1"/>
  <c r="C557" i="6"/>
  <c r="D557" i="6" s="1"/>
  <c r="E557" i="6" s="1"/>
  <c r="D556" i="6"/>
  <c r="E556" i="6" s="1"/>
  <c r="D555" i="6"/>
  <c r="E555" i="6" s="1"/>
  <c r="D554" i="6"/>
  <c r="E554" i="6" s="1"/>
  <c r="C553" i="6"/>
  <c r="D553" i="6" s="1"/>
  <c r="E553" i="6" s="1"/>
  <c r="D552" i="6"/>
  <c r="E552" i="6" s="1"/>
  <c r="D551" i="6"/>
  <c r="E551" i="6" s="1"/>
  <c r="C550" i="6"/>
  <c r="D550" i="6" s="1"/>
  <c r="E550" i="6" s="1"/>
  <c r="C545" i="6"/>
  <c r="C543" i="6"/>
  <c r="C541" i="6"/>
  <c r="C533" i="6"/>
  <c r="D533" i="6" s="1"/>
  <c r="E533" i="6" s="1"/>
  <c r="D532" i="6"/>
  <c r="E532" i="6" s="1"/>
  <c r="D531" i="6"/>
  <c r="E531" i="6" s="1"/>
  <c r="D530" i="6"/>
  <c r="E530" i="6" s="1"/>
  <c r="D529" i="6"/>
  <c r="E529" i="6" s="1"/>
  <c r="D528" i="6"/>
  <c r="E528" i="6" s="1"/>
  <c r="D527" i="6"/>
  <c r="E527" i="6" s="1"/>
  <c r="D526" i="6"/>
  <c r="E526" i="6" s="1"/>
  <c r="D524" i="6"/>
  <c r="E524" i="6" s="1"/>
  <c r="D523" i="6"/>
  <c r="E523" i="6" s="1"/>
  <c r="D522" i="6"/>
  <c r="E522" i="6" s="1"/>
  <c r="C521" i="6"/>
  <c r="D521" i="6" s="1"/>
  <c r="E521" i="6" s="1"/>
  <c r="D520" i="6"/>
  <c r="E520" i="6" s="1"/>
  <c r="D519" i="6"/>
  <c r="E519" i="6" s="1"/>
  <c r="D518" i="6"/>
  <c r="E518" i="6" s="1"/>
  <c r="D517" i="6"/>
  <c r="E517" i="6" s="1"/>
  <c r="C516" i="6"/>
  <c r="D516" i="6" s="1"/>
  <c r="E516" i="6" s="1"/>
  <c r="D515" i="6"/>
  <c r="E515" i="6" s="1"/>
  <c r="C514" i="6"/>
  <c r="D514" i="6" s="1"/>
  <c r="E514" i="6" s="1"/>
  <c r="D513" i="6"/>
  <c r="E513" i="6" s="1"/>
  <c r="D512" i="6"/>
  <c r="E512" i="6" s="1"/>
  <c r="D511" i="6"/>
  <c r="E511" i="6" s="1"/>
  <c r="D510" i="6"/>
  <c r="E510" i="6" s="1"/>
  <c r="D509" i="6"/>
  <c r="E509" i="6" s="1"/>
  <c r="D508" i="6"/>
  <c r="E508" i="6" s="1"/>
  <c r="C507" i="6"/>
  <c r="D507" i="6" s="1"/>
  <c r="E507" i="6" s="1"/>
  <c r="D506" i="6"/>
  <c r="E506" i="6" s="1"/>
  <c r="C505" i="6"/>
  <c r="D505" i="6" s="1"/>
  <c r="E505" i="6" s="1"/>
  <c r="D504" i="6"/>
  <c r="E504" i="6" s="1"/>
  <c r="D503" i="6"/>
  <c r="E503" i="6" s="1"/>
  <c r="D502" i="6"/>
  <c r="E502" i="6" s="1"/>
  <c r="D501" i="6"/>
  <c r="E501" i="6" s="1"/>
  <c r="D500" i="6"/>
  <c r="E500" i="6" s="1"/>
  <c r="C499" i="6"/>
  <c r="D499" i="6" s="1"/>
  <c r="E499" i="6" s="1"/>
  <c r="D498" i="6"/>
  <c r="E498" i="6" s="1"/>
  <c r="D497" i="6"/>
  <c r="E497" i="6" s="1"/>
  <c r="C496" i="6"/>
  <c r="D496" i="6" s="1"/>
  <c r="E496" i="6" s="1"/>
  <c r="D495" i="6"/>
  <c r="E495" i="6" s="1"/>
  <c r="D494" i="6"/>
  <c r="E494" i="6" s="1"/>
  <c r="D493" i="6"/>
  <c r="E493" i="6" s="1"/>
  <c r="C492" i="6"/>
  <c r="D492" i="6" s="1"/>
  <c r="E492" i="6" s="1"/>
  <c r="D491" i="6"/>
  <c r="E491" i="6" s="1"/>
  <c r="D490" i="6"/>
  <c r="E490" i="6" s="1"/>
  <c r="D489" i="6"/>
  <c r="E489" i="6" s="1"/>
  <c r="D488" i="6"/>
  <c r="E488" i="6" s="1"/>
  <c r="D487" i="6"/>
  <c r="E487" i="6" s="1"/>
  <c r="D486" i="6"/>
  <c r="E486" i="6" s="1"/>
  <c r="D485" i="6"/>
  <c r="E485" i="6" s="1"/>
  <c r="D484" i="6"/>
  <c r="E484" i="6" s="1"/>
  <c r="D483" i="6"/>
  <c r="E483" i="6" s="1"/>
  <c r="D482" i="6"/>
  <c r="E482" i="6" s="1"/>
  <c r="C481" i="6"/>
  <c r="D481" i="6" s="1"/>
  <c r="E481" i="6" s="1"/>
  <c r="D480" i="6"/>
  <c r="E480" i="6" s="1"/>
  <c r="D479" i="6"/>
  <c r="E479" i="6" s="1"/>
  <c r="D478" i="6"/>
  <c r="E478" i="6" s="1"/>
  <c r="D477" i="6"/>
  <c r="E477" i="6" s="1"/>
  <c r="C476" i="6"/>
  <c r="D476" i="6" s="1"/>
  <c r="E476" i="6" s="1"/>
  <c r="D475" i="6"/>
  <c r="E475" i="6" s="1"/>
  <c r="D474" i="6"/>
  <c r="E474" i="6" s="1"/>
  <c r="C473" i="6"/>
  <c r="D473" i="6" s="1"/>
  <c r="E473" i="6" s="1"/>
  <c r="D472" i="6"/>
  <c r="E472" i="6" s="1"/>
  <c r="C471" i="6"/>
  <c r="D471" i="6" s="1"/>
  <c r="E471" i="6" s="1"/>
  <c r="D470" i="6"/>
  <c r="E470" i="6" s="1"/>
  <c r="D469" i="6"/>
  <c r="E469" i="6" s="1"/>
  <c r="D468" i="6"/>
  <c r="E468" i="6" s="1"/>
  <c r="D467" i="6"/>
  <c r="E467" i="6" s="1"/>
  <c r="C466" i="6"/>
  <c r="D466" i="6" s="1"/>
  <c r="E466" i="6" s="1"/>
  <c r="D465" i="6"/>
  <c r="E465" i="6" s="1"/>
  <c r="D464" i="6"/>
  <c r="E464" i="6" s="1"/>
  <c r="D463" i="6"/>
  <c r="E463" i="6" s="1"/>
  <c r="D462" i="6"/>
  <c r="E462" i="6" s="1"/>
  <c r="D461" i="6"/>
  <c r="E461" i="6" s="1"/>
  <c r="D460" i="6"/>
  <c r="E460" i="6" s="1"/>
  <c r="D459" i="6"/>
  <c r="E459" i="6" s="1"/>
  <c r="C458" i="6"/>
  <c r="D458" i="6" s="1"/>
  <c r="E458" i="6" s="1"/>
  <c r="D457" i="6"/>
  <c r="E457" i="6" s="1"/>
  <c r="D456" i="6"/>
  <c r="E456" i="6" s="1"/>
  <c r="D455" i="6"/>
  <c r="E455" i="6" s="1"/>
  <c r="C454" i="6"/>
  <c r="D454" i="6" s="1"/>
  <c r="E454" i="6" s="1"/>
  <c r="D453" i="6"/>
  <c r="E453" i="6" s="1"/>
  <c r="D452" i="6"/>
  <c r="E452" i="6" s="1"/>
  <c r="C451" i="6"/>
  <c r="D451" i="6" s="1"/>
  <c r="E451" i="6" s="1"/>
  <c r="C446" i="6"/>
  <c r="C444" i="6"/>
  <c r="C442" i="6"/>
  <c r="E430" i="6"/>
  <c r="D428" i="6"/>
  <c r="E428" i="6" s="1"/>
  <c r="D427" i="6"/>
  <c r="E427" i="6" s="1"/>
  <c r="D426" i="6"/>
  <c r="E426" i="6" s="1"/>
  <c r="C425" i="6"/>
  <c r="D425" i="6" s="1"/>
  <c r="E425" i="6" s="1"/>
  <c r="D424" i="6"/>
  <c r="E424" i="6" s="1"/>
  <c r="D423" i="6"/>
  <c r="E423" i="6" s="1"/>
  <c r="D422" i="6"/>
  <c r="E422" i="6" s="1"/>
  <c r="D421" i="6"/>
  <c r="E421" i="6" s="1"/>
  <c r="D420" i="6"/>
  <c r="E420" i="6" s="1"/>
  <c r="C419" i="6"/>
  <c r="D418" i="6"/>
  <c r="E418" i="6" s="1"/>
  <c r="D417" i="6"/>
  <c r="E417" i="6" s="1"/>
  <c r="D416" i="6"/>
  <c r="E416" i="6" s="1"/>
  <c r="D415" i="6"/>
  <c r="E415" i="6" s="1"/>
  <c r="D414" i="6"/>
  <c r="E414" i="6" s="1"/>
  <c r="C413" i="6"/>
  <c r="D413" i="6" s="1"/>
  <c r="E413" i="6" s="1"/>
  <c r="D412" i="6"/>
  <c r="E412" i="6" s="1"/>
  <c r="D411" i="6"/>
  <c r="E411" i="6" s="1"/>
  <c r="D410" i="6"/>
  <c r="E410" i="6" s="1"/>
  <c r="D409" i="6"/>
  <c r="E409" i="6" s="1"/>
  <c r="D408" i="6"/>
  <c r="E408" i="6" s="1"/>
  <c r="D407" i="6"/>
  <c r="E407" i="6" s="1"/>
  <c r="D406" i="6"/>
  <c r="E406" i="6" s="1"/>
  <c r="D405" i="6"/>
  <c r="E405" i="6" s="1"/>
  <c r="C404" i="6"/>
  <c r="D404" i="6" s="1"/>
  <c r="E404" i="6" s="1"/>
  <c r="D403" i="6"/>
  <c r="E403" i="6" s="1"/>
  <c r="D402" i="6"/>
  <c r="E402" i="6" s="1"/>
  <c r="C401" i="6"/>
  <c r="D401" i="6" s="1"/>
  <c r="E401" i="6" s="1"/>
  <c r="D400" i="6"/>
  <c r="E400" i="6" s="1"/>
  <c r="D399" i="6"/>
  <c r="E399" i="6" s="1"/>
  <c r="D398" i="6"/>
  <c r="E398" i="6" s="1"/>
  <c r="C397" i="6"/>
  <c r="D397" i="6" s="1"/>
  <c r="E397" i="6" s="1"/>
  <c r="D396" i="6"/>
  <c r="E396" i="6" s="1"/>
  <c r="D395" i="6"/>
  <c r="E395" i="6" s="1"/>
  <c r="D394" i="6"/>
  <c r="E394" i="6" s="1"/>
  <c r="D393" i="6"/>
  <c r="E393" i="6" s="1"/>
  <c r="D392" i="6"/>
  <c r="E392" i="6" s="1"/>
  <c r="D391" i="6"/>
  <c r="E391" i="6" s="1"/>
  <c r="D390" i="6"/>
  <c r="E390" i="6" s="1"/>
  <c r="D389" i="6"/>
  <c r="E389" i="6" s="1"/>
  <c r="D388" i="6"/>
  <c r="E388" i="6" s="1"/>
  <c r="C387" i="6"/>
  <c r="D387" i="6" s="1"/>
  <c r="E387" i="6" s="1"/>
  <c r="D386" i="6"/>
  <c r="E386" i="6" s="1"/>
  <c r="D385" i="6"/>
  <c r="E385" i="6" s="1"/>
  <c r="D384" i="6"/>
  <c r="E384" i="6" s="1"/>
  <c r="D383" i="6"/>
  <c r="E383" i="6" s="1"/>
  <c r="C382" i="6"/>
  <c r="D382" i="6" s="1"/>
  <c r="E382" i="6" s="1"/>
  <c r="D381" i="6"/>
  <c r="E381" i="6" s="1"/>
  <c r="D380" i="6"/>
  <c r="E380" i="6" s="1"/>
  <c r="D379" i="6"/>
  <c r="E379" i="6" s="1"/>
  <c r="D378" i="6"/>
  <c r="E378" i="6" s="1"/>
  <c r="D377" i="6"/>
  <c r="E377" i="6" s="1"/>
  <c r="D376" i="6"/>
  <c r="E376" i="6" s="1"/>
  <c r="D375" i="6"/>
  <c r="E375" i="6" s="1"/>
  <c r="D374" i="6"/>
  <c r="E374" i="6" s="1"/>
  <c r="D373" i="6"/>
  <c r="E373" i="6" s="1"/>
  <c r="C372" i="6"/>
  <c r="D372" i="6" s="1"/>
  <c r="E372" i="6" s="1"/>
  <c r="D371" i="6"/>
  <c r="E371" i="6" s="1"/>
  <c r="D370" i="6"/>
  <c r="E370" i="6" s="1"/>
  <c r="D369" i="6"/>
  <c r="E369" i="6" s="1"/>
  <c r="D368" i="6"/>
  <c r="E368" i="6" s="1"/>
  <c r="D367" i="6"/>
  <c r="E367" i="6" s="1"/>
  <c r="D366" i="6"/>
  <c r="E366" i="6" s="1"/>
  <c r="D365" i="6"/>
  <c r="E365" i="6" s="1"/>
  <c r="C364" i="6"/>
  <c r="D364" i="6" s="1"/>
  <c r="E364" i="6" s="1"/>
  <c r="D363" i="6"/>
  <c r="E363" i="6" s="1"/>
  <c r="D362" i="6"/>
  <c r="E362" i="6" s="1"/>
  <c r="C361" i="6"/>
  <c r="D361" i="6" s="1"/>
  <c r="E361" i="6" s="1"/>
  <c r="D360" i="6"/>
  <c r="E360" i="6" s="1"/>
  <c r="D359" i="6"/>
  <c r="E359" i="6" s="1"/>
  <c r="D358" i="6"/>
  <c r="E358" i="6" s="1"/>
  <c r="C357" i="6"/>
  <c r="D357" i="6" s="1"/>
  <c r="E357" i="6" s="1"/>
  <c r="D356" i="6"/>
  <c r="E356" i="6" s="1"/>
  <c r="C348" i="6"/>
  <c r="D348" i="6" s="1"/>
  <c r="E348" i="6" s="1"/>
  <c r="D347" i="6"/>
  <c r="E347" i="6" s="1"/>
  <c r="D346" i="6"/>
  <c r="E346" i="6" s="1"/>
  <c r="D345" i="6"/>
  <c r="E345" i="6" s="1"/>
  <c r="D344" i="6"/>
  <c r="E344" i="6" s="1"/>
  <c r="D343" i="6"/>
  <c r="E343" i="6" s="1"/>
  <c r="D340" i="6"/>
  <c r="E340" i="6" s="1"/>
  <c r="D339" i="6"/>
  <c r="E339" i="6" s="1"/>
  <c r="D338" i="6"/>
  <c r="E338" i="6" s="1"/>
  <c r="C337" i="6"/>
  <c r="D337" i="6" s="1"/>
  <c r="E337" i="6" s="1"/>
  <c r="D336" i="6"/>
  <c r="E336" i="6" s="1"/>
  <c r="D335" i="6"/>
  <c r="E335" i="6" s="1"/>
  <c r="D334" i="6"/>
  <c r="E334" i="6" s="1"/>
  <c r="D333" i="6"/>
  <c r="E333" i="6" s="1"/>
  <c r="C332" i="6"/>
  <c r="D332" i="6" s="1"/>
  <c r="E332" i="6" s="1"/>
  <c r="D331" i="6"/>
  <c r="E331" i="6" s="1"/>
  <c r="C330" i="6"/>
  <c r="D330" i="6" s="1"/>
  <c r="E330" i="6" s="1"/>
  <c r="D329" i="6"/>
  <c r="D328" i="6"/>
  <c r="E328" i="6" s="1"/>
  <c r="D327" i="6"/>
  <c r="E327" i="6" s="1"/>
  <c r="D326" i="6"/>
  <c r="E326" i="6" s="1"/>
  <c r="D325" i="6"/>
  <c r="E325" i="6" s="1"/>
  <c r="D324" i="6"/>
  <c r="E324" i="6" s="1"/>
  <c r="C323" i="6"/>
  <c r="D323" i="6" s="1"/>
  <c r="E323" i="6" s="1"/>
  <c r="D322" i="6"/>
  <c r="E322" i="6" s="1"/>
  <c r="C321" i="6"/>
  <c r="D321" i="6" s="1"/>
  <c r="E321" i="6" s="1"/>
  <c r="D320" i="6"/>
  <c r="E320" i="6" s="1"/>
  <c r="D319" i="6"/>
  <c r="E319" i="6" s="1"/>
  <c r="D318" i="6"/>
  <c r="E318" i="6" s="1"/>
  <c r="D317" i="6"/>
  <c r="E317" i="6" s="1"/>
  <c r="D316" i="6"/>
  <c r="E316" i="6" s="1"/>
  <c r="C315" i="6"/>
  <c r="D315" i="6" s="1"/>
  <c r="E315" i="6" s="1"/>
  <c r="D314" i="6"/>
  <c r="E314" i="6" s="1"/>
  <c r="D313" i="6"/>
  <c r="E313" i="6" s="1"/>
  <c r="C312" i="6"/>
  <c r="D312" i="6" s="1"/>
  <c r="E312" i="6" s="1"/>
  <c r="D311" i="6"/>
  <c r="E311" i="6" s="1"/>
  <c r="D310" i="6"/>
  <c r="E310" i="6" s="1"/>
  <c r="D309" i="6"/>
  <c r="E309" i="6" s="1"/>
  <c r="C308" i="6"/>
  <c r="D308" i="6" s="1"/>
  <c r="E308" i="6" s="1"/>
  <c r="D307" i="6"/>
  <c r="E307" i="6" s="1"/>
  <c r="D306" i="6"/>
  <c r="E306" i="6" s="1"/>
  <c r="D305" i="6"/>
  <c r="E305" i="6" s="1"/>
  <c r="D304" i="6"/>
  <c r="E304" i="6" s="1"/>
  <c r="D303" i="6"/>
  <c r="E303" i="6" s="1"/>
  <c r="D302" i="6"/>
  <c r="E302" i="6" s="1"/>
  <c r="D301" i="6"/>
  <c r="E301" i="6" s="1"/>
  <c r="D300" i="6"/>
  <c r="E300" i="6" s="1"/>
  <c r="D299" i="6"/>
  <c r="E299" i="6" s="1"/>
  <c r="D298" i="6"/>
  <c r="E298" i="6" s="1"/>
  <c r="C297" i="6"/>
  <c r="D297" i="6" s="1"/>
  <c r="E297" i="6" s="1"/>
  <c r="D296" i="6"/>
  <c r="E296" i="6" s="1"/>
  <c r="D295" i="6"/>
  <c r="C294" i="6"/>
  <c r="D294" i="6" s="1"/>
  <c r="E294" i="6" s="1"/>
  <c r="D293" i="6"/>
  <c r="E293" i="6" s="1"/>
  <c r="D292" i="6"/>
  <c r="E292" i="6" s="1"/>
  <c r="C291" i="6"/>
  <c r="D291" i="6" s="1"/>
  <c r="E291" i="6" s="1"/>
  <c r="D290" i="6"/>
  <c r="E290" i="6" s="1"/>
  <c r="D289" i="6"/>
  <c r="E289" i="6" s="1"/>
  <c r="C288" i="6"/>
  <c r="D288" i="6" s="1"/>
  <c r="E288" i="6" s="1"/>
  <c r="D287" i="6"/>
  <c r="E287" i="6" s="1"/>
  <c r="C286" i="6"/>
  <c r="D286" i="6" s="1"/>
  <c r="E286" i="6" s="1"/>
  <c r="D285" i="6"/>
  <c r="E285" i="6" s="1"/>
  <c r="D284" i="6"/>
  <c r="E284" i="6" s="1"/>
  <c r="D283" i="6"/>
  <c r="E283" i="6" s="1"/>
  <c r="D282" i="6"/>
  <c r="E282" i="6" s="1"/>
  <c r="C281" i="6"/>
  <c r="D281" i="6" s="1"/>
  <c r="E281" i="6" s="1"/>
  <c r="D280" i="6"/>
  <c r="E280" i="6" s="1"/>
  <c r="D279" i="6"/>
  <c r="E279" i="6" s="1"/>
  <c r="D278" i="6"/>
  <c r="E278" i="6" s="1"/>
  <c r="D277" i="6"/>
  <c r="E277" i="6" s="1"/>
  <c r="D276" i="6"/>
  <c r="E276" i="6" s="1"/>
  <c r="D275" i="6"/>
  <c r="E275" i="6" s="1"/>
  <c r="D274" i="6"/>
  <c r="E274" i="6" s="1"/>
  <c r="C273" i="6"/>
  <c r="D273" i="6" s="1"/>
  <c r="E273" i="6" s="1"/>
  <c r="D272" i="6"/>
  <c r="E272" i="6" s="1"/>
  <c r="D271" i="6"/>
  <c r="E271" i="6" s="1"/>
  <c r="D270" i="6"/>
  <c r="E270" i="6" s="1"/>
  <c r="C269" i="6"/>
  <c r="D269" i="6" s="1"/>
  <c r="E269" i="6" s="1"/>
  <c r="D268" i="6"/>
  <c r="E268" i="6" s="1"/>
  <c r="D267" i="6"/>
  <c r="E267" i="6" s="1"/>
  <c r="C266" i="6"/>
  <c r="C261" i="6"/>
  <c r="C259" i="6"/>
  <c r="C257" i="6"/>
  <c r="C252" i="6"/>
  <c r="D252" i="6" s="1"/>
  <c r="E252" i="6" s="1"/>
  <c r="D251" i="6"/>
  <c r="E251" i="6" s="1"/>
  <c r="D250" i="6"/>
  <c r="E250" i="6" s="1"/>
  <c r="D249" i="6"/>
  <c r="E249" i="6" s="1"/>
  <c r="D248" i="6"/>
  <c r="E248" i="6" s="1"/>
  <c r="D247" i="6"/>
  <c r="E247" i="6" s="1"/>
  <c r="D245" i="6"/>
  <c r="E245" i="6" s="1"/>
  <c r="C244" i="6"/>
  <c r="C242" i="6" s="1"/>
  <c r="D242" i="6" s="1"/>
  <c r="E242" i="6" s="1"/>
  <c r="D243" i="6"/>
  <c r="E243" i="6" s="1"/>
  <c r="D241" i="6"/>
  <c r="E241" i="6" s="1"/>
  <c r="E240" i="6"/>
  <c r="D239" i="6"/>
  <c r="E239" i="6" s="1"/>
  <c r="D238" i="6"/>
  <c r="E238" i="6" s="1"/>
  <c r="D237" i="6"/>
  <c r="E237" i="6" s="1"/>
  <c r="C237" i="6"/>
  <c r="D236" i="6" s="1"/>
  <c r="E236" i="6" s="1"/>
  <c r="D235" i="6"/>
  <c r="E235" i="6" s="1"/>
  <c r="C235" i="6"/>
  <c r="D233" i="6"/>
  <c r="E233" i="6" s="1"/>
  <c r="C232" i="6"/>
  <c r="D232" i="6" s="1"/>
  <c r="E232" i="6" s="1"/>
  <c r="D231" i="6"/>
  <c r="E231" i="6" s="1"/>
  <c r="D230" i="6"/>
  <c r="E230" i="6" s="1"/>
  <c r="D229" i="6"/>
  <c r="E229" i="6" s="1"/>
  <c r="D227" i="6"/>
  <c r="E227" i="6" s="1"/>
  <c r="C226" i="6"/>
  <c r="D226" i="6" s="1"/>
  <c r="E226" i="6" s="1"/>
  <c r="D225" i="6"/>
  <c r="E225" i="6" s="1"/>
  <c r="D224" i="6"/>
  <c r="E224" i="6" s="1"/>
  <c r="D223" i="6"/>
  <c r="E223" i="6" s="1"/>
  <c r="D222" i="6"/>
  <c r="E222" i="6" s="1"/>
  <c r="D221" i="6"/>
  <c r="E221" i="6" s="1"/>
  <c r="C220" i="6"/>
  <c r="D220" i="6" s="1"/>
  <c r="E220" i="6" s="1"/>
  <c r="D219" i="6"/>
  <c r="E219" i="6" s="1"/>
  <c r="D218" i="6"/>
  <c r="E218" i="6" s="1"/>
  <c r="C217" i="6"/>
  <c r="D217" i="6" s="1"/>
  <c r="E217" i="6" s="1"/>
  <c r="D216" i="6"/>
  <c r="E216" i="6" s="1"/>
  <c r="D215" i="6"/>
  <c r="E215" i="6" s="1"/>
  <c r="D214" i="6"/>
  <c r="E214" i="6" s="1"/>
  <c r="C213" i="6"/>
  <c r="D212" i="6"/>
  <c r="E212" i="6" s="1"/>
  <c r="D211" i="6"/>
  <c r="E211" i="6" s="1"/>
  <c r="D210" i="6"/>
  <c r="E210" i="6" s="1"/>
  <c r="D209" i="6"/>
  <c r="E209" i="6" s="1"/>
  <c r="D208" i="6"/>
  <c r="E208" i="6" s="1"/>
  <c r="D207" i="6"/>
  <c r="E207" i="6" s="1"/>
  <c r="D206" i="6"/>
  <c r="E206" i="6" s="1"/>
  <c r="D205" i="6"/>
  <c r="E205" i="6" s="1"/>
  <c r="D204" i="6"/>
  <c r="E204" i="6" s="1"/>
  <c r="D203" i="6"/>
  <c r="E203" i="6" s="1"/>
  <c r="C202" i="6"/>
  <c r="D202" i="6" s="1"/>
  <c r="E202" i="6" s="1"/>
  <c r="D201" i="6"/>
  <c r="E201" i="6" s="1"/>
  <c r="D200" i="6"/>
  <c r="E200" i="6" s="1"/>
  <c r="D199" i="6"/>
  <c r="E199" i="6" s="1"/>
  <c r="D198" i="6"/>
  <c r="E198" i="6" s="1"/>
  <c r="C197" i="6"/>
  <c r="D197" i="6" s="1"/>
  <c r="E197" i="6" s="1"/>
  <c r="D196" i="6"/>
  <c r="E196" i="6" s="1"/>
  <c r="D195" i="6"/>
  <c r="E195" i="6" s="1"/>
  <c r="C194" i="6"/>
  <c r="D194" i="6" s="1"/>
  <c r="E194" i="6" s="1"/>
  <c r="D193" i="6"/>
  <c r="E193" i="6" s="1"/>
  <c r="C192" i="6"/>
  <c r="D192" i="6" s="1"/>
  <c r="E192" i="6" s="1"/>
  <c r="D191" i="6"/>
  <c r="E191" i="6" s="1"/>
  <c r="D190" i="6"/>
  <c r="E190" i="6" s="1"/>
  <c r="D189" i="6"/>
  <c r="E189" i="6" s="1"/>
  <c r="D188" i="6"/>
  <c r="E188" i="6" s="1"/>
  <c r="C187" i="6"/>
  <c r="D187" i="6" s="1"/>
  <c r="E187" i="6" s="1"/>
  <c r="D186" i="6"/>
  <c r="E186" i="6" s="1"/>
  <c r="D185" i="6"/>
  <c r="E185" i="6" s="1"/>
  <c r="D184" i="6"/>
  <c r="E184" i="6" s="1"/>
  <c r="D183" i="6"/>
  <c r="E183" i="6" s="1"/>
  <c r="D182" i="6"/>
  <c r="E182" i="6" s="1"/>
  <c r="D181" i="6"/>
  <c r="E181" i="6" s="1"/>
  <c r="D180" i="6"/>
  <c r="E180" i="6" s="1"/>
  <c r="C179" i="6"/>
  <c r="D179" i="6" s="1"/>
  <c r="E179" i="6" s="1"/>
  <c r="D178" i="6"/>
  <c r="E178" i="6" s="1"/>
  <c r="D177" i="6"/>
  <c r="E177" i="6" s="1"/>
  <c r="D176" i="6"/>
  <c r="E176" i="6" s="1"/>
  <c r="C175" i="6"/>
  <c r="D175" i="6" s="1"/>
  <c r="E175" i="6" s="1"/>
  <c r="D174" i="6"/>
  <c r="E174" i="6" s="1"/>
  <c r="D173" i="6"/>
  <c r="E173" i="6" s="1"/>
  <c r="C172" i="6"/>
  <c r="C167" i="6"/>
  <c r="C165" i="6"/>
  <c r="C163" i="6"/>
  <c r="D156" i="6"/>
  <c r="D153" i="6"/>
  <c r="E153" i="6" s="1"/>
  <c r="C152" i="6"/>
  <c r="D151" i="6"/>
  <c r="E151" i="6" s="1"/>
  <c r="D150" i="6"/>
  <c r="E150" i="6" s="1"/>
  <c r="E149" i="6"/>
  <c r="D145" i="6"/>
  <c r="E145" i="6" s="1"/>
  <c r="C144" i="6"/>
  <c r="D144" i="6" s="1"/>
  <c r="E144" i="6" s="1"/>
  <c r="D143" i="6"/>
  <c r="E143" i="6" s="1"/>
  <c r="D142" i="6"/>
  <c r="E142" i="6" s="1"/>
  <c r="D141" i="6"/>
  <c r="E141" i="6" s="1"/>
  <c r="C140" i="6"/>
  <c r="D140" i="6" s="1"/>
  <c r="E140" i="6" s="1"/>
  <c r="D139" i="6"/>
  <c r="E139" i="6" s="1"/>
  <c r="C138" i="6"/>
  <c r="D138" i="6" s="1"/>
  <c r="E138" i="6" s="1"/>
  <c r="D137" i="6"/>
  <c r="E137" i="6" s="1"/>
  <c r="D136" i="6"/>
  <c r="E136" i="6" s="1"/>
  <c r="C135" i="6"/>
  <c r="D121" i="6"/>
  <c r="E121" i="6" s="1"/>
  <c r="D120" i="6"/>
  <c r="E120" i="6" s="1"/>
  <c r="C119" i="6"/>
  <c r="D119" i="6" s="1"/>
  <c r="E119" i="6" s="1"/>
  <c r="D118" i="6"/>
  <c r="E118" i="6" s="1"/>
  <c r="C117" i="6"/>
  <c r="D117" i="6" s="1"/>
  <c r="E117" i="6" s="1"/>
  <c r="D116" i="6"/>
  <c r="E116" i="6" s="1"/>
  <c r="D115" i="6"/>
  <c r="E115" i="6" s="1"/>
  <c r="D114" i="6"/>
  <c r="E114" i="6" s="1"/>
  <c r="D113" i="6"/>
  <c r="E113" i="6" s="1"/>
  <c r="C112" i="6"/>
  <c r="D112" i="6" s="1"/>
  <c r="E112" i="6" s="1"/>
  <c r="D111" i="6"/>
  <c r="E111" i="6" s="1"/>
  <c r="D110" i="6"/>
  <c r="E110" i="6" s="1"/>
  <c r="D109" i="6"/>
  <c r="E109" i="6" s="1"/>
  <c r="C108" i="6"/>
  <c r="D108" i="6" s="1"/>
  <c r="E108" i="6" s="1"/>
  <c r="D107" i="6"/>
  <c r="E107" i="6" s="1"/>
  <c r="C106" i="6"/>
  <c r="D106" i="6" s="1"/>
  <c r="E106" i="6" s="1"/>
  <c r="D105" i="6"/>
  <c r="E105" i="6" s="1"/>
  <c r="D104" i="6"/>
  <c r="E104" i="6" s="1"/>
  <c r="C103" i="6"/>
  <c r="D103" i="6" s="1"/>
  <c r="E103" i="6" s="1"/>
  <c r="D102" i="6"/>
  <c r="E102" i="6" s="1"/>
  <c r="C101" i="6"/>
  <c r="D101" i="6" s="1"/>
  <c r="E101" i="6" s="1"/>
  <c r="D100" i="6"/>
  <c r="E100" i="6" s="1"/>
  <c r="C99" i="6"/>
  <c r="D99" i="6" s="1"/>
  <c r="E99" i="6" s="1"/>
  <c r="E98" i="6"/>
  <c r="C93" i="6"/>
  <c r="D92" i="6"/>
  <c r="E92" i="6" s="1"/>
  <c r="D91" i="6"/>
  <c r="E91" i="6" s="1"/>
  <c r="D90" i="6"/>
  <c r="E90" i="6" s="1"/>
  <c r="D89" i="6"/>
  <c r="E89" i="6" s="1"/>
  <c r="D87" i="6"/>
  <c r="E87" i="6" s="1"/>
  <c r="D86" i="6"/>
  <c r="E86" i="6" s="1"/>
  <c r="D83" i="6"/>
  <c r="E83" i="6" s="1"/>
  <c r="D81" i="6"/>
  <c r="E81" i="6" s="1"/>
  <c r="D80" i="6"/>
  <c r="E80" i="6" s="1"/>
  <c r="D79" i="6"/>
  <c r="E79" i="6" s="1"/>
  <c r="C78" i="6"/>
  <c r="D78" i="6" s="1"/>
  <c r="E78" i="6" s="1"/>
  <c r="D77" i="6"/>
  <c r="E77" i="6" s="1"/>
  <c r="D76" i="6"/>
  <c r="E76" i="6" s="1"/>
  <c r="D75" i="6"/>
  <c r="E75" i="6" s="1"/>
  <c r="D74" i="6"/>
  <c r="E74" i="6" s="1"/>
  <c r="D73" i="6"/>
  <c r="E73" i="6" s="1"/>
  <c r="D72" i="6"/>
  <c r="E72" i="6" s="1"/>
  <c r="D71" i="6"/>
  <c r="E71" i="6" s="1"/>
  <c r="C70" i="6"/>
  <c r="D70" i="6" s="1"/>
  <c r="E70" i="6" s="1"/>
  <c r="D69" i="6"/>
  <c r="E69" i="6" s="1"/>
  <c r="C68" i="6"/>
  <c r="D68" i="6" s="1"/>
  <c r="E68" i="6" s="1"/>
  <c r="D67" i="6"/>
  <c r="E67" i="6" s="1"/>
  <c r="D66" i="6"/>
  <c r="E66" i="6" s="1"/>
  <c r="D65" i="6"/>
  <c r="E65" i="6" s="1"/>
  <c r="D64" i="6"/>
  <c r="E64" i="6" s="1"/>
  <c r="C63" i="6"/>
  <c r="D63" i="6" s="1"/>
  <c r="E63" i="6" s="1"/>
  <c r="D62" i="6"/>
  <c r="E62" i="6" s="1"/>
  <c r="D61" i="6"/>
  <c r="E61" i="6" s="1"/>
  <c r="C60" i="6"/>
  <c r="D60" i="6" s="1"/>
  <c r="E60" i="6" s="1"/>
  <c r="D59" i="6"/>
  <c r="E59" i="6" s="1"/>
  <c r="D58" i="6"/>
  <c r="E58" i="6" s="1"/>
  <c r="D57" i="6"/>
  <c r="E57" i="6" s="1"/>
  <c r="C56" i="6"/>
  <c r="D56" i="6" s="1"/>
  <c r="E56" i="6" s="1"/>
  <c r="D55" i="6"/>
  <c r="E55" i="6" s="1"/>
  <c r="D54" i="6"/>
  <c r="E54" i="6" s="1"/>
  <c r="D53" i="6"/>
  <c r="E53" i="6" s="1"/>
  <c r="D52" i="6"/>
  <c r="E52" i="6" s="1"/>
  <c r="D51" i="6"/>
  <c r="E51" i="6" s="1"/>
  <c r="D50" i="6"/>
  <c r="E50" i="6" s="1"/>
  <c r="D49" i="6"/>
  <c r="E49" i="6" s="1"/>
  <c r="D48" i="6"/>
  <c r="E48" i="6" s="1"/>
  <c r="D47" i="6"/>
  <c r="E47" i="6" s="1"/>
  <c r="D46" i="6"/>
  <c r="E46" i="6" s="1"/>
  <c r="D45" i="6"/>
  <c r="E45" i="6" s="1"/>
  <c r="C44" i="6"/>
  <c r="D44" i="6" s="1"/>
  <c r="E44" i="6" s="1"/>
  <c r="D43" i="6"/>
  <c r="E43" i="6" s="1"/>
  <c r="D42" i="6"/>
  <c r="E42" i="6" s="1"/>
  <c r="C41" i="6"/>
  <c r="D41" i="6" s="1"/>
  <c r="E41" i="6" s="1"/>
  <c r="D40" i="6"/>
  <c r="E40" i="6" s="1"/>
  <c r="D39" i="6"/>
  <c r="E39" i="6" s="1"/>
  <c r="D38" i="6"/>
  <c r="E38" i="6" s="1"/>
  <c r="D37" i="6"/>
  <c r="E37" i="6" s="1"/>
  <c r="D36" i="6"/>
  <c r="E36" i="6" s="1"/>
  <c r="D35" i="6"/>
  <c r="E35" i="6" s="1"/>
  <c r="D34" i="6"/>
  <c r="E34" i="6" s="1"/>
  <c r="D33" i="6"/>
  <c r="E33" i="6" s="1"/>
  <c r="C32" i="6"/>
  <c r="D31" i="6"/>
  <c r="E31" i="6" s="1"/>
  <c r="D30" i="6"/>
  <c r="E30" i="6" s="1"/>
  <c r="D29" i="6"/>
  <c r="E29" i="6" s="1"/>
  <c r="D28" i="6"/>
  <c r="E28" i="6" s="1"/>
  <c r="D27" i="6"/>
  <c r="E27" i="6" s="1"/>
  <c r="D26" i="6"/>
  <c r="E26" i="6" s="1"/>
  <c r="D25" i="6"/>
  <c r="E25" i="6" s="1"/>
  <c r="D24" i="6"/>
  <c r="E24" i="6" s="1"/>
  <c r="D23" i="6"/>
  <c r="E23" i="6" s="1"/>
  <c r="C22" i="6"/>
  <c r="D22" i="6" s="1"/>
  <c r="E22" i="6" s="1"/>
  <c r="D21" i="6"/>
  <c r="E21" i="6" s="1"/>
  <c r="D20" i="6"/>
  <c r="E20" i="6" s="1"/>
  <c r="G19" i="6"/>
  <c r="D19" i="6"/>
  <c r="E19" i="6" s="1"/>
  <c r="C18" i="6"/>
  <c r="D18" i="6" s="1"/>
  <c r="E18" i="6" s="1"/>
  <c r="D17" i="6"/>
  <c r="E17" i="6" s="1"/>
  <c r="D16" i="6"/>
  <c r="E16" i="6" s="1"/>
  <c r="C15" i="6"/>
  <c r="D15" i="6" s="1"/>
  <c r="E15" i="6" s="1"/>
  <c r="D12" i="6"/>
  <c r="E12" i="6" s="1"/>
  <c r="D11" i="6"/>
  <c r="E11" i="6" s="1"/>
  <c r="D10" i="6"/>
  <c r="E10" i="6" s="1"/>
  <c r="D9" i="6"/>
  <c r="E9" i="6" s="1"/>
  <c r="D8" i="6"/>
  <c r="E8" i="6" s="1"/>
  <c r="C7" i="6"/>
  <c r="D7" i="6" s="1"/>
  <c r="E7" i="6" s="1"/>
  <c r="D6" i="6"/>
  <c r="E6" i="6" s="1"/>
  <c r="C5" i="6"/>
  <c r="H5" i="28" l="1"/>
  <c r="F5" i="28" s="1"/>
  <c r="C127" i="6"/>
  <c r="C82" i="6"/>
  <c r="C84" i="6" s="1"/>
  <c r="D701" i="6"/>
  <c r="E701" i="6"/>
  <c r="D135" i="6"/>
  <c r="C146" i="6"/>
  <c r="D152" i="6"/>
  <c r="E152" i="6" s="1"/>
  <c r="K7" i="18"/>
  <c r="F7" i="18" s="1"/>
  <c r="F7" i="2"/>
  <c r="I7" i="2" s="1"/>
  <c r="C903" i="6"/>
  <c r="D903" i="6" s="1"/>
  <c r="D93" i="6"/>
  <c r="E93" i="6" s="1"/>
  <c r="K5" i="18"/>
  <c r="F5" i="18" s="1"/>
  <c r="F5" i="2"/>
  <c r="I5" i="2" s="1"/>
  <c r="C429" i="6"/>
  <c r="C438" i="6" s="1"/>
  <c r="D438" i="6" s="1"/>
  <c r="E438" i="6" s="1"/>
  <c r="D5" i="6"/>
  <c r="E5" i="6" s="1"/>
  <c r="B5" i="18"/>
  <c r="C623" i="6"/>
  <c r="C632" i="6" s="1"/>
  <c r="D32" i="6"/>
  <c r="E32" i="6" s="1"/>
  <c r="C1273" i="6"/>
  <c r="C997" i="6"/>
  <c r="C709" i="6"/>
  <c r="D244" i="6"/>
  <c r="E244" i="6" s="1"/>
  <c r="D923" i="6"/>
  <c r="E923" i="6" s="1"/>
  <c r="D828" i="6"/>
  <c r="E828" i="6" s="1"/>
  <c r="D1101" i="6"/>
  <c r="E1101" i="6" s="1"/>
  <c r="C1175" i="6"/>
  <c r="D419" i="6"/>
  <c r="E419" i="6" s="1"/>
  <c r="C806" i="6"/>
  <c r="C228" i="6"/>
  <c r="D228" i="6" s="1"/>
  <c r="E228" i="6" s="1"/>
  <c r="C341" i="6"/>
  <c r="C525" i="6"/>
  <c r="D172" i="6"/>
  <c r="E172" i="6" s="1"/>
  <c r="C1085" i="6"/>
  <c r="D1085" i="6" s="1"/>
  <c r="E1085" i="6" s="1"/>
  <c r="D735" i="6"/>
  <c r="E735" i="6" s="1"/>
  <c r="D1011" i="6"/>
  <c r="E1011" i="6" s="1"/>
  <c r="D266" i="6"/>
  <c r="E266" i="6" s="1"/>
  <c r="C155" i="6" l="1"/>
  <c r="D155" i="6" s="1"/>
  <c r="E155" i="6" s="1"/>
  <c r="D127" i="6"/>
  <c r="E127" i="6" s="1"/>
  <c r="E5" i="18"/>
  <c r="E5" i="28"/>
  <c r="C126" i="6"/>
  <c r="C128" i="6" s="1"/>
  <c r="C1284" i="6" s="1"/>
  <c r="C1287" i="6" s="1"/>
  <c r="E5" i="2"/>
  <c r="C911" i="6"/>
  <c r="D429" i="6"/>
  <c r="E429" i="6" s="1"/>
  <c r="E7" i="18"/>
  <c r="E7" i="2"/>
  <c r="D5" i="18"/>
  <c r="L5" i="18"/>
  <c r="D623" i="6"/>
  <c r="E135" i="6"/>
  <c r="E146" i="6" s="1"/>
  <c r="D146" i="6"/>
  <c r="F83" i="6"/>
  <c r="D82" i="6"/>
  <c r="C1282" i="6"/>
  <c r="D1273" i="6"/>
  <c r="E1273" i="6" s="1"/>
  <c r="C1184" i="6"/>
  <c r="D1175" i="6"/>
  <c r="E903" i="6"/>
  <c r="E911" i="6" s="1"/>
  <c r="D911" i="6"/>
  <c r="D341" i="6"/>
  <c r="E341" i="6" s="1"/>
  <c r="C349" i="6"/>
  <c r="C815" i="6"/>
  <c r="D815" i="6" s="1"/>
  <c r="E815" i="6" s="1"/>
  <c r="D806" i="6"/>
  <c r="E806" i="6" s="1"/>
  <c r="D709" i="6"/>
  <c r="E709" i="6" s="1"/>
  <c r="C719" i="6"/>
  <c r="D719" i="6" s="1"/>
  <c r="E719" i="6" s="1"/>
  <c r="D997" i="6"/>
  <c r="E997" i="6" s="1"/>
  <c r="C1006" i="6"/>
  <c r="D1006" i="6" s="1"/>
  <c r="E1006" i="6" s="1"/>
  <c r="D632" i="6"/>
  <c r="E623" i="6"/>
  <c r="E632" i="6" s="1"/>
  <c r="C246" i="6"/>
  <c r="D525" i="6"/>
  <c r="E525" i="6" s="1"/>
  <c r="C534" i="6"/>
  <c r="D534" i="6" s="1"/>
  <c r="E534" i="6" s="1"/>
  <c r="I5" i="28" l="1"/>
  <c r="D5" i="28"/>
  <c r="D33" i="28" s="1"/>
  <c r="E33" i="28"/>
  <c r="D349" i="6"/>
  <c r="E349" i="6" s="1"/>
  <c r="C1186" i="6"/>
  <c r="E82" i="6"/>
  <c r="E84" i="6" s="1"/>
  <c r="D84" i="6"/>
  <c r="D7" i="18"/>
  <c r="L7" i="18"/>
  <c r="G7" i="2"/>
  <c r="J7" i="2" s="1"/>
  <c r="H7" i="2"/>
  <c r="D1282" i="6"/>
  <c r="E1282" i="6" s="1"/>
  <c r="E6" i="18"/>
  <c r="E6" i="2"/>
  <c r="D126" i="6"/>
  <c r="C154" i="6"/>
  <c r="D154" i="6" s="1"/>
  <c r="E154" i="6" s="1"/>
  <c r="E156" i="6" s="1"/>
  <c r="H5" i="2"/>
  <c r="G5" i="2"/>
  <c r="D1184" i="6"/>
  <c r="E1175" i="6"/>
  <c r="E1184" i="6" s="1"/>
  <c r="C253" i="6"/>
  <c r="D253" i="6" s="1"/>
  <c r="E253" i="6" s="1"/>
  <c r="D246" i="6"/>
  <c r="E246" i="6" s="1"/>
  <c r="D35" i="28" l="1"/>
  <c r="E126" i="6"/>
  <c r="E128" i="6" s="1"/>
  <c r="E1284" i="6" s="1"/>
  <c r="E1287" i="6" s="1"/>
  <c r="D128" i="6"/>
  <c r="D1284" i="6" s="1"/>
  <c r="D1287" i="6" s="1"/>
  <c r="G6" i="2"/>
  <c r="J6" i="2" s="1"/>
  <c r="H6" i="2"/>
  <c r="D6" i="18"/>
  <c r="L6" i="18"/>
  <c r="J5" i="2"/>
  <c r="K7" i="2"/>
  <c r="K10" i="2" s="1"/>
  <c r="D401" i="3" l="1"/>
  <c r="E401" i="3" s="1"/>
  <c r="C400" i="3"/>
  <c r="D400" i="3" s="1"/>
  <c r="E400" i="3" s="1"/>
  <c r="D399" i="3"/>
  <c r="E399" i="3" s="1"/>
  <c r="C398" i="3"/>
  <c r="D398" i="3" s="1"/>
  <c r="E398" i="3" s="1"/>
  <c r="D397" i="3"/>
  <c r="E397" i="3" s="1"/>
  <c r="D396" i="3"/>
  <c r="E396" i="3" s="1"/>
  <c r="C395" i="3"/>
  <c r="D395" i="3" s="1"/>
  <c r="E395" i="3" s="1"/>
  <c r="D394" i="3"/>
  <c r="E394" i="3" s="1"/>
  <c r="D393" i="3"/>
  <c r="E393" i="3" s="1"/>
  <c r="E392" i="3"/>
  <c r="D392" i="3"/>
  <c r="D391" i="3"/>
  <c r="E391" i="3" s="1"/>
  <c r="D390" i="3"/>
  <c r="E390" i="3" s="1"/>
  <c r="C389" i="3"/>
  <c r="D389" i="3" s="1"/>
  <c r="E389" i="3" s="1"/>
  <c r="D388" i="3"/>
  <c r="E388" i="3" s="1"/>
  <c r="C387" i="3"/>
  <c r="D387" i="3" s="1"/>
  <c r="E387" i="3" s="1"/>
  <c r="D386" i="3"/>
  <c r="E386" i="3" s="1"/>
  <c r="D385" i="3"/>
  <c r="E385" i="3" s="1"/>
  <c r="C384" i="3"/>
  <c r="D384" i="3" s="1"/>
  <c r="E384" i="3" s="1"/>
  <c r="D383" i="3"/>
  <c r="E383" i="3" s="1"/>
  <c r="C382" i="3"/>
  <c r="D382" i="3" s="1"/>
  <c r="E382" i="3" s="1"/>
  <c r="D381" i="3"/>
  <c r="E381" i="3" s="1"/>
  <c r="D380" i="3"/>
  <c r="E380" i="3" s="1"/>
  <c r="D376" i="3"/>
  <c r="E376" i="3" s="1"/>
  <c r="D375" i="3"/>
  <c r="E375" i="3" s="1"/>
  <c r="D374" i="3"/>
  <c r="E374" i="3" s="1"/>
  <c r="D373" i="3"/>
  <c r="E373" i="3" s="1"/>
  <c r="C371" i="3"/>
  <c r="D371" i="3" s="1"/>
  <c r="E371" i="3" s="1"/>
  <c r="C370" i="3"/>
  <c r="D370" i="3" s="1"/>
  <c r="E370" i="3" s="1"/>
  <c r="D369" i="3"/>
  <c r="E369" i="3" s="1"/>
  <c r="D368" i="3"/>
  <c r="E368" i="3" s="1"/>
  <c r="D366" i="3"/>
  <c r="E366" i="3" s="1"/>
  <c r="D365" i="3"/>
  <c r="E365" i="3" s="1"/>
  <c r="D364" i="3"/>
  <c r="E364" i="3" s="1"/>
  <c r="D363" i="3"/>
  <c r="E363" i="3" s="1"/>
  <c r="D361" i="3"/>
  <c r="E361" i="3" s="1"/>
  <c r="C360" i="3"/>
  <c r="D359" i="3"/>
  <c r="E359" i="3" s="1"/>
  <c r="D358" i="3"/>
  <c r="E358" i="3" s="1"/>
  <c r="C357" i="3"/>
  <c r="D357" i="3" s="1"/>
  <c r="E357" i="3" s="1"/>
  <c r="D356" i="3"/>
  <c r="E356" i="3" s="1"/>
  <c r="C355" i="3"/>
  <c r="D355" i="3" s="1"/>
  <c r="E355" i="3" s="1"/>
  <c r="D354" i="3"/>
  <c r="E354" i="3" s="1"/>
  <c r="D353" i="3"/>
  <c r="E353" i="3" s="1"/>
  <c r="C352" i="3"/>
  <c r="D352" i="3" s="1"/>
  <c r="E352" i="3" s="1"/>
  <c r="D351" i="3"/>
  <c r="E351" i="3" s="1"/>
  <c r="D350" i="3"/>
  <c r="E350" i="3" s="1"/>
  <c r="D349" i="3"/>
  <c r="E349" i="3" s="1"/>
  <c r="C348" i="3"/>
  <c r="D348" i="3" s="1"/>
  <c r="E348" i="3" s="1"/>
  <c r="D347" i="3"/>
  <c r="E347" i="3" s="1"/>
  <c r="C346" i="3"/>
  <c r="D346" i="3" s="1"/>
  <c r="E346" i="3" s="1"/>
  <c r="D345" i="3"/>
  <c r="E345" i="3" s="1"/>
  <c r="E344" i="3"/>
  <c r="D344" i="3"/>
  <c r="D343" i="3"/>
  <c r="E343" i="3" s="1"/>
  <c r="D342" i="3"/>
  <c r="E342" i="3" s="1"/>
  <c r="D341" i="3"/>
  <c r="E341" i="3" s="1"/>
  <c r="C340" i="3"/>
  <c r="D340" i="3" s="1"/>
  <c r="E340" i="3" s="1"/>
  <c r="D339" i="3"/>
  <c r="E339" i="3" s="1"/>
  <c r="C338" i="3"/>
  <c r="D338" i="3" s="1"/>
  <c r="E338" i="3" s="1"/>
  <c r="D337" i="3"/>
  <c r="E337" i="3" s="1"/>
  <c r="D336" i="3"/>
  <c r="E336" i="3" s="1"/>
  <c r="D335" i="3"/>
  <c r="E335" i="3" s="1"/>
  <c r="C334" i="3"/>
  <c r="D334" i="3" s="1"/>
  <c r="E334" i="3" s="1"/>
  <c r="D333" i="3"/>
  <c r="E333" i="3" s="1"/>
  <c r="E332" i="3"/>
  <c r="D332" i="3"/>
  <c r="D331" i="3"/>
  <c r="E331" i="3" s="1"/>
  <c r="D330" i="3"/>
  <c r="E330" i="3" s="1"/>
  <c r="D329" i="3"/>
  <c r="E329" i="3" s="1"/>
  <c r="D328" i="3"/>
  <c r="E328" i="3" s="1"/>
  <c r="D327" i="3"/>
  <c r="E327" i="3" s="1"/>
  <c r="C326" i="3"/>
  <c r="D326" i="3" s="1"/>
  <c r="E326" i="3" s="1"/>
  <c r="D325" i="3"/>
  <c r="E325" i="3" s="1"/>
  <c r="D324" i="3"/>
  <c r="E324" i="3" s="1"/>
  <c r="C323" i="3"/>
  <c r="D323" i="3" s="1"/>
  <c r="E323" i="3" s="1"/>
  <c r="D322" i="3"/>
  <c r="E322" i="3" s="1"/>
  <c r="D321" i="3"/>
  <c r="E321" i="3" s="1"/>
  <c r="C320" i="3"/>
  <c r="D320" i="3" s="1"/>
  <c r="E320" i="3" s="1"/>
  <c r="D319" i="3"/>
  <c r="E319" i="3" s="1"/>
  <c r="D318" i="3"/>
  <c r="E318" i="3" s="1"/>
  <c r="D317" i="3"/>
  <c r="E317" i="3" s="1"/>
  <c r="D316" i="3"/>
  <c r="E316" i="3" s="1"/>
  <c r="D315" i="3"/>
  <c r="E315" i="3" s="1"/>
  <c r="D314" i="3"/>
  <c r="E314" i="3" s="1"/>
  <c r="D313" i="3"/>
  <c r="E313" i="3" s="1"/>
  <c r="D312" i="3"/>
  <c r="E312" i="3" s="1"/>
  <c r="C311" i="3"/>
  <c r="D311" i="3" s="1"/>
  <c r="E311" i="3" s="1"/>
  <c r="D310" i="3"/>
  <c r="E310" i="3" s="1"/>
  <c r="D309" i="3"/>
  <c r="E309" i="3" s="1"/>
  <c r="C308" i="3"/>
  <c r="D308" i="3" s="1"/>
  <c r="E308" i="3" s="1"/>
  <c r="D307" i="3"/>
  <c r="E307" i="3" s="1"/>
  <c r="D306" i="3"/>
  <c r="E306" i="3" s="1"/>
  <c r="D305" i="3"/>
  <c r="E305" i="3" s="1"/>
  <c r="D304" i="3"/>
  <c r="E304" i="3" s="1"/>
  <c r="C303" i="3"/>
  <c r="D303" i="3" s="1"/>
  <c r="E303" i="3" s="1"/>
  <c r="D302" i="3"/>
  <c r="E302" i="3" s="1"/>
  <c r="D301" i="3"/>
  <c r="E301" i="3" s="1"/>
  <c r="D300" i="3"/>
  <c r="E300" i="3" s="1"/>
  <c r="C299" i="3"/>
  <c r="D299" i="3" s="1"/>
  <c r="E299" i="3" s="1"/>
  <c r="D298" i="3"/>
  <c r="E298" i="3" s="1"/>
  <c r="D297" i="3"/>
  <c r="E297" i="3" s="1"/>
  <c r="D296" i="3"/>
  <c r="E296" i="3" s="1"/>
  <c r="D295" i="3"/>
  <c r="E295" i="3" s="1"/>
  <c r="C294" i="3"/>
  <c r="D294" i="3" s="1"/>
  <c r="E294" i="3" s="1"/>
  <c r="D293" i="3"/>
  <c r="E293" i="3" s="1"/>
  <c r="D292" i="3"/>
  <c r="E292" i="3" s="1"/>
  <c r="C291" i="3"/>
  <c r="D291" i="3" s="1"/>
  <c r="E291" i="3" s="1"/>
  <c r="D290" i="3"/>
  <c r="E290" i="3" s="1"/>
  <c r="D289" i="3"/>
  <c r="E289" i="3" s="1"/>
  <c r="C288" i="3"/>
  <c r="D288" i="3" s="1"/>
  <c r="E288" i="3" s="1"/>
  <c r="D287" i="3"/>
  <c r="E287" i="3" s="1"/>
  <c r="C286" i="3"/>
  <c r="D286" i="3" s="1"/>
  <c r="E286" i="3" s="1"/>
  <c r="D285" i="3"/>
  <c r="E285" i="3" s="1"/>
  <c r="D284" i="3"/>
  <c r="E284" i="3" s="1"/>
  <c r="D283" i="3"/>
  <c r="E283" i="3" s="1"/>
  <c r="D282" i="3"/>
  <c r="E282" i="3" s="1"/>
  <c r="D281" i="3"/>
  <c r="E281" i="3" s="1"/>
  <c r="C277" i="3"/>
  <c r="D277" i="3" s="1"/>
  <c r="E277" i="3" s="1"/>
  <c r="D276" i="3"/>
  <c r="E276" i="3" s="1"/>
  <c r="D275" i="3"/>
  <c r="E275" i="3" s="1"/>
  <c r="D271" i="3"/>
  <c r="E271" i="3" s="1"/>
  <c r="D270" i="3"/>
  <c r="E270" i="3" s="1"/>
  <c r="D269" i="3"/>
  <c r="E269" i="3" s="1"/>
  <c r="C268" i="3"/>
  <c r="C267" i="3"/>
  <c r="D267" i="3" s="1"/>
  <c r="E267" i="3" s="1"/>
  <c r="D266" i="3"/>
  <c r="E266" i="3" s="1"/>
  <c r="D265" i="3"/>
  <c r="E265" i="3" s="1"/>
  <c r="C263" i="3"/>
  <c r="D263" i="3" s="1"/>
  <c r="E263" i="3" s="1"/>
  <c r="D262" i="3"/>
  <c r="E262" i="3" s="1"/>
  <c r="D261" i="3"/>
  <c r="E261" i="3" s="1"/>
  <c r="D259" i="3"/>
  <c r="E259" i="3" s="1"/>
  <c r="C258" i="3"/>
  <c r="D258" i="3" s="1"/>
  <c r="D257" i="3"/>
  <c r="E257" i="3" s="1"/>
  <c r="D256" i="3"/>
  <c r="E256" i="3" s="1"/>
  <c r="C255" i="3"/>
  <c r="D255" i="3" s="1"/>
  <c r="E255" i="3" s="1"/>
  <c r="D254" i="3"/>
  <c r="E254" i="3" s="1"/>
  <c r="C253" i="3"/>
  <c r="D253" i="3" s="1"/>
  <c r="E253" i="3" s="1"/>
  <c r="D252" i="3"/>
  <c r="E252" i="3" s="1"/>
  <c r="D251" i="3"/>
  <c r="E251" i="3" s="1"/>
  <c r="C250" i="3"/>
  <c r="D250" i="3" s="1"/>
  <c r="E250" i="3" s="1"/>
  <c r="D249" i="3"/>
  <c r="E249" i="3" s="1"/>
  <c r="D248" i="3"/>
  <c r="E248" i="3" s="1"/>
  <c r="D247" i="3"/>
  <c r="E247" i="3" s="1"/>
  <c r="D246" i="3"/>
  <c r="E246" i="3" s="1"/>
  <c r="C245" i="3"/>
  <c r="D245" i="3" s="1"/>
  <c r="E245" i="3" s="1"/>
  <c r="D244" i="3"/>
  <c r="E244" i="3" s="1"/>
  <c r="C243" i="3"/>
  <c r="D243" i="3" s="1"/>
  <c r="E243" i="3" s="1"/>
  <c r="D242" i="3"/>
  <c r="E242" i="3" s="1"/>
  <c r="D241" i="3"/>
  <c r="E241" i="3" s="1"/>
  <c r="D240" i="3"/>
  <c r="E240" i="3" s="1"/>
  <c r="D239" i="3"/>
  <c r="E239" i="3" s="1"/>
  <c r="D238" i="3"/>
  <c r="E238" i="3" s="1"/>
  <c r="D237" i="3"/>
  <c r="E237" i="3" s="1"/>
  <c r="C236" i="3"/>
  <c r="D236" i="3" s="1"/>
  <c r="E236" i="3" s="1"/>
  <c r="D235" i="3"/>
  <c r="E235" i="3" s="1"/>
  <c r="C234" i="3"/>
  <c r="D234" i="3" s="1"/>
  <c r="E234" i="3" s="1"/>
  <c r="D233" i="3"/>
  <c r="E233" i="3" s="1"/>
  <c r="D232" i="3"/>
  <c r="E232" i="3" s="1"/>
  <c r="D231" i="3"/>
  <c r="E231" i="3" s="1"/>
  <c r="C230" i="3"/>
  <c r="D230" i="3" s="1"/>
  <c r="E230" i="3" s="1"/>
  <c r="D229" i="3"/>
  <c r="E229" i="3" s="1"/>
  <c r="D228" i="3"/>
  <c r="E228" i="3" s="1"/>
  <c r="D227" i="3"/>
  <c r="E227" i="3" s="1"/>
  <c r="D226" i="3"/>
  <c r="E226" i="3" s="1"/>
  <c r="D225" i="3"/>
  <c r="E225" i="3" s="1"/>
  <c r="D224" i="3"/>
  <c r="E224" i="3" s="1"/>
  <c r="D223" i="3"/>
  <c r="E223" i="3" s="1"/>
  <c r="C222" i="3"/>
  <c r="D222" i="3" s="1"/>
  <c r="E222" i="3" s="1"/>
  <c r="D221" i="3"/>
  <c r="E221" i="3" s="1"/>
  <c r="D220" i="3"/>
  <c r="E220" i="3" s="1"/>
  <c r="D219" i="3"/>
  <c r="E219" i="3" s="1"/>
  <c r="E218" i="3"/>
  <c r="D218" i="3"/>
  <c r="D217" i="3"/>
  <c r="E217" i="3" s="1"/>
  <c r="C216" i="3"/>
  <c r="D216" i="3" s="1"/>
  <c r="E216" i="3" s="1"/>
  <c r="D215" i="3"/>
  <c r="E215" i="3" s="1"/>
  <c r="D214" i="3"/>
  <c r="E214" i="3" s="1"/>
  <c r="D213" i="3"/>
  <c r="E213" i="3" s="1"/>
  <c r="D212" i="3"/>
  <c r="E212" i="3" s="1"/>
  <c r="D211" i="3"/>
  <c r="E211" i="3" s="1"/>
  <c r="D210" i="3"/>
  <c r="E210" i="3" s="1"/>
  <c r="D209" i="3"/>
  <c r="E209" i="3" s="1"/>
  <c r="C208" i="3"/>
  <c r="D208" i="3" s="1"/>
  <c r="E208" i="3" s="1"/>
  <c r="D207" i="3"/>
  <c r="E207" i="3" s="1"/>
  <c r="E206" i="3"/>
  <c r="D206" i="3"/>
  <c r="C205" i="3"/>
  <c r="D205" i="3" s="1"/>
  <c r="E205" i="3" s="1"/>
  <c r="D204" i="3"/>
  <c r="E204" i="3" s="1"/>
  <c r="D203" i="3"/>
  <c r="E203" i="3" s="1"/>
  <c r="D202" i="3"/>
  <c r="E202" i="3" s="1"/>
  <c r="D201" i="3"/>
  <c r="E201" i="3" s="1"/>
  <c r="C200" i="3"/>
  <c r="D200" i="3" s="1"/>
  <c r="E200" i="3" s="1"/>
  <c r="D199" i="3"/>
  <c r="E199" i="3" s="1"/>
  <c r="D198" i="3"/>
  <c r="E198" i="3" s="1"/>
  <c r="D197" i="3"/>
  <c r="E197" i="3" s="1"/>
  <c r="C196" i="3"/>
  <c r="D196" i="3" s="1"/>
  <c r="E196" i="3" s="1"/>
  <c r="D195" i="3"/>
  <c r="E195" i="3" s="1"/>
  <c r="D194" i="3"/>
  <c r="E194" i="3" s="1"/>
  <c r="D193" i="3"/>
  <c r="E193" i="3" s="1"/>
  <c r="D192" i="3"/>
  <c r="E192" i="3" s="1"/>
  <c r="C191" i="3"/>
  <c r="D191" i="3" s="1"/>
  <c r="E191" i="3" s="1"/>
  <c r="D190" i="3"/>
  <c r="E190" i="3" s="1"/>
  <c r="D189" i="3"/>
  <c r="E189" i="3" s="1"/>
  <c r="D188" i="3"/>
  <c r="E188" i="3" s="1"/>
  <c r="C187" i="3"/>
  <c r="D187" i="3" s="1"/>
  <c r="E187" i="3" s="1"/>
  <c r="D186" i="3"/>
  <c r="E186" i="3" s="1"/>
  <c r="D185" i="3"/>
  <c r="E185" i="3" s="1"/>
  <c r="C184" i="3"/>
  <c r="D184" i="3" s="1"/>
  <c r="E184" i="3" s="1"/>
  <c r="D183" i="3"/>
  <c r="E183" i="3" s="1"/>
  <c r="D182" i="3"/>
  <c r="E182" i="3" s="1"/>
  <c r="D181" i="3"/>
  <c r="E181" i="3" s="1"/>
  <c r="D180" i="3"/>
  <c r="E180" i="3" s="1"/>
  <c r="D179" i="3"/>
  <c r="E179" i="3" s="1"/>
  <c r="D178" i="3"/>
  <c r="E178" i="3" s="1"/>
  <c r="D177" i="3"/>
  <c r="E177" i="3" s="1"/>
  <c r="D176" i="3"/>
  <c r="E176" i="3" s="1"/>
  <c r="D175" i="3"/>
  <c r="E175" i="3" s="1"/>
  <c r="D174" i="3"/>
  <c r="E174" i="3" s="1"/>
  <c r="D173" i="3"/>
  <c r="E173" i="3" s="1"/>
  <c r="D172" i="3"/>
  <c r="E172" i="3" s="1"/>
  <c r="D171" i="3"/>
  <c r="E171" i="3" s="1"/>
  <c r="D170" i="3"/>
  <c r="E170" i="3" s="1"/>
  <c r="D169" i="3"/>
  <c r="E169" i="3" s="1"/>
  <c r="D168" i="3"/>
  <c r="E168" i="3" s="1"/>
  <c r="E167" i="3"/>
  <c r="D167" i="3"/>
  <c r="C166" i="3"/>
  <c r="D166" i="3" s="1"/>
  <c r="E166" i="3" s="1"/>
  <c r="D165" i="3"/>
  <c r="E165" i="3" s="1"/>
  <c r="C164" i="3"/>
  <c r="D164" i="3" s="1"/>
  <c r="E164" i="3" s="1"/>
  <c r="D163" i="3"/>
  <c r="E163" i="3" s="1"/>
  <c r="D162" i="3"/>
  <c r="E162" i="3" s="1"/>
  <c r="D161" i="3"/>
  <c r="E161" i="3" s="1"/>
  <c r="D156" i="3"/>
  <c r="E156" i="3" s="1"/>
  <c r="C155" i="3"/>
  <c r="D155" i="3" s="1"/>
  <c r="E155" i="3" s="1"/>
  <c r="D154" i="3"/>
  <c r="E154" i="3" s="1"/>
  <c r="D153" i="3"/>
  <c r="E153" i="3" s="1"/>
  <c r="D152" i="3"/>
  <c r="E152" i="3" s="1"/>
  <c r="D151" i="3"/>
  <c r="E151" i="3" s="1"/>
  <c r="D150" i="3"/>
  <c r="E150" i="3" s="1"/>
  <c r="D149" i="3"/>
  <c r="E149" i="3" s="1"/>
  <c r="D148" i="3"/>
  <c r="E148" i="3" s="1"/>
  <c r="C147" i="3"/>
  <c r="D146" i="3"/>
  <c r="E146" i="3" s="1"/>
  <c r="D145" i="3"/>
  <c r="E145" i="3" s="1"/>
  <c r="D144" i="3"/>
  <c r="E144" i="3" s="1"/>
  <c r="C143" i="3"/>
  <c r="D143" i="3" s="1"/>
  <c r="E143" i="3" s="1"/>
  <c r="D142" i="3"/>
  <c r="E142" i="3" s="1"/>
  <c r="D141" i="3"/>
  <c r="E141" i="3" s="1"/>
  <c r="D140" i="3"/>
  <c r="E140" i="3" s="1"/>
  <c r="D139" i="3"/>
  <c r="E139" i="3" s="1"/>
  <c r="D138" i="3"/>
  <c r="E138" i="3" s="1"/>
  <c r="E137" i="3"/>
  <c r="D137" i="3"/>
  <c r="D136" i="3"/>
  <c r="E136" i="3" s="1"/>
  <c r="C135" i="3"/>
  <c r="D135" i="3" s="1"/>
  <c r="E135" i="3" s="1"/>
  <c r="D134" i="3"/>
  <c r="E134" i="3" s="1"/>
  <c r="D133" i="3"/>
  <c r="E133" i="3" s="1"/>
  <c r="C132" i="3"/>
  <c r="D132" i="3" s="1"/>
  <c r="E132" i="3" s="1"/>
  <c r="D131" i="3"/>
  <c r="E131" i="3" s="1"/>
  <c r="C130" i="3"/>
  <c r="D130" i="3" s="1"/>
  <c r="E130" i="3" s="1"/>
  <c r="D129" i="3"/>
  <c r="E129" i="3" s="1"/>
  <c r="D128" i="3"/>
  <c r="E128" i="3" s="1"/>
  <c r="D127" i="3"/>
  <c r="E127" i="3" s="1"/>
  <c r="C126" i="3"/>
  <c r="D126" i="3" s="1"/>
  <c r="E126" i="3" s="1"/>
  <c r="D125" i="3"/>
  <c r="E125" i="3" s="1"/>
  <c r="D124" i="3"/>
  <c r="E124" i="3" s="1"/>
  <c r="D123" i="3"/>
  <c r="E123" i="3" s="1"/>
  <c r="D122" i="3"/>
  <c r="E122" i="3" s="1"/>
  <c r="D121" i="3"/>
  <c r="E121" i="3" s="1"/>
  <c r="D120" i="3"/>
  <c r="E120" i="3" s="1"/>
  <c r="D119" i="3"/>
  <c r="E119" i="3" s="1"/>
  <c r="D118" i="3"/>
  <c r="E118" i="3" s="1"/>
  <c r="C117" i="3"/>
  <c r="D117" i="3" s="1"/>
  <c r="E117" i="3" s="1"/>
  <c r="D116" i="3"/>
  <c r="E116" i="3" s="1"/>
  <c r="D115" i="3"/>
  <c r="E115" i="3" s="1"/>
  <c r="C114" i="3"/>
  <c r="D114" i="3" s="1"/>
  <c r="E114" i="3" s="1"/>
  <c r="D113" i="3"/>
  <c r="E113" i="3" s="1"/>
  <c r="D112" i="3"/>
  <c r="E112" i="3" s="1"/>
  <c r="C111" i="3"/>
  <c r="D111" i="3" s="1"/>
  <c r="E111" i="3" s="1"/>
  <c r="D110" i="3"/>
  <c r="E110" i="3" s="1"/>
  <c r="D109" i="3"/>
  <c r="E109" i="3" s="1"/>
  <c r="D105" i="3"/>
  <c r="E105" i="3" s="1"/>
  <c r="D104" i="3"/>
  <c r="E104" i="3" s="1"/>
  <c r="D103" i="3"/>
  <c r="E103" i="3" s="1"/>
  <c r="D102" i="3"/>
  <c r="E102" i="3" s="1"/>
  <c r="D101" i="3"/>
  <c r="E101" i="3" s="1"/>
  <c r="D100" i="3"/>
  <c r="E100" i="3" s="1"/>
  <c r="D99" i="3"/>
  <c r="E99" i="3" s="1"/>
  <c r="D98" i="3"/>
  <c r="E98" i="3" s="1"/>
  <c r="D97" i="3"/>
  <c r="E97" i="3" s="1"/>
  <c r="D96" i="3"/>
  <c r="E96" i="3" s="1"/>
  <c r="E95" i="3"/>
  <c r="D95" i="3"/>
  <c r="D94" i="3"/>
  <c r="E94" i="3" s="1"/>
  <c r="C92" i="3"/>
  <c r="D92" i="3" s="1"/>
  <c r="E92" i="3" s="1"/>
  <c r="D91" i="3"/>
  <c r="E91" i="3" s="1"/>
  <c r="D90" i="3"/>
  <c r="E90" i="3" s="1"/>
  <c r="D89" i="3"/>
  <c r="E89" i="3" s="1"/>
  <c r="D87" i="3"/>
  <c r="E87" i="3" s="1"/>
  <c r="C86" i="3"/>
  <c r="D85" i="3"/>
  <c r="E85" i="3" s="1"/>
  <c r="D84" i="3"/>
  <c r="E84" i="3" s="1"/>
  <c r="C83" i="3"/>
  <c r="D83" i="3" s="1"/>
  <c r="E83" i="3" s="1"/>
  <c r="D82" i="3"/>
  <c r="E82" i="3" s="1"/>
  <c r="C81" i="3"/>
  <c r="D81" i="3" s="1"/>
  <c r="E81" i="3" s="1"/>
  <c r="D80" i="3"/>
  <c r="E80" i="3" s="1"/>
  <c r="D79" i="3"/>
  <c r="E79" i="3" s="1"/>
  <c r="C78" i="3"/>
  <c r="D78" i="3" s="1"/>
  <c r="E78" i="3" s="1"/>
  <c r="D77" i="3"/>
  <c r="E77" i="3" s="1"/>
  <c r="C76" i="3"/>
  <c r="D76" i="3" s="1"/>
  <c r="E76" i="3" s="1"/>
  <c r="D75" i="3"/>
  <c r="E75" i="3" s="1"/>
  <c r="D74" i="3"/>
  <c r="E74" i="3" s="1"/>
  <c r="D73" i="3"/>
  <c r="E73" i="3" s="1"/>
  <c r="C72" i="3"/>
  <c r="D72" i="3" s="1"/>
  <c r="E72" i="3" s="1"/>
  <c r="D71" i="3"/>
  <c r="E71" i="3" s="1"/>
  <c r="C70" i="3"/>
  <c r="D70" i="3" s="1"/>
  <c r="E70" i="3" s="1"/>
  <c r="D69" i="3"/>
  <c r="E69" i="3" s="1"/>
  <c r="E68" i="3"/>
  <c r="D68" i="3"/>
  <c r="D67" i="3"/>
  <c r="E67" i="3" s="1"/>
  <c r="D66" i="3"/>
  <c r="E66" i="3" s="1"/>
  <c r="D65" i="3"/>
  <c r="E65" i="3" s="1"/>
  <c r="D64" i="3"/>
  <c r="E64" i="3" s="1"/>
  <c r="C63" i="3"/>
  <c r="D63" i="3" s="1"/>
  <c r="E63" i="3" s="1"/>
  <c r="D62" i="3"/>
  <c r="E62" i="3" s="1"/>
  <c r="C61" i="3"/>
  <c r="D61" i="3" s="1"/>
  <c r="E61" i="3" s="1"/>
  <c r="D60" i="3"/>
  <c r="E60" i="3" s="1"/>
  <c r="D59" i="3"/>
  <c r="E59" i="3" s="1"/>
  <c r="D58" i="3"/>
  <c r="E58" i="3" s="1"/>
  <c r="C57" i="3"/>
  <c r="D57" i="3" s="1"/>
  <c r="E57" i="3" s="1"/>
  <c r="D56" i="3"/>
  <c r="E56" i="3" s="1"/>
  <c r="D55" i="3"/>
  <c r="E55" i="3" s="1"/>
  <c r="D54" i="3"/>
  <c r="E54" i="3" s="1"/>
  <c r="D53" i="3"/>
  <c r="E53" i="3" s="1"/>
  <c r="D52" i="3"/>
  <c r="E52" i="3" s="1"/>
  <c r="D51" i="3"/>
  <c r="E51" i="3" s="1"/>
  <c r="D50" i="3"/>
  <c r="E50" i="3" s="1"/>
  <c r="C49" i="3"/>
  <c r="D49" i="3" s="1"/>
  <c r="E49" i="3" s="1"/>
  <c r="D48" i="3"/>
  <c r="E48" i="3" s="1"/>
  <c r="D47" i="3"/>
  <c r="E47" i="3" s="1"/>
  <c r="C46" i="3"/>
  <c r="D46" i="3" s="1"/>
  <c r="E46" i="3" s="1"/>
  <c r="D45" i="3"/>
  <c r="E45" i="3" s="1"/>
  <c r="D44" i="3"/>
  <c r="E44" i="3" s="1"/>
  <c r="C43" i="3"/>
  <c r="D43" i="3" s="1"/>
  <c r="E43" i="3" s="1"/>
  <c r="E42" i="3"/>
  <c r="D42" i="3"/>
  <c r="D41" i="3"/>
  <c r="E41" i="3" s="1"/>
  <c r="D40" i="3"/>
  <c r="E40" i="3" s="1"/>
  <c r="D39" i="3"/>
  <c r="E39" i="3" s="1"/>
  <c r="D38" i="3"/>
  <c r="E38" i="3" s="1"/>
  <c r="D37" i="3"/>
  <c r="E37" i="3" s="1"/>
  <c r="D36" i="3"/>
  <c r="E36" i="3" s="1"/>
  <c r="D35" i="3"/>
  <c r="E35" i="3" s="1"/>
  <c r="C34" i="3"/>
  <c r="D34" i="3" s="1"/>
  <c r="E34" i="3" s="1"/>
  <c r="D33" i="3"/>
  <c r="E33" i="3" s="1"/>
  <c r="D32" i="3"/>
  <c r="E32" i="3" s="1"/>
  <c r="C31" i="3"/>
  <c r="D31" i="3" s="1"/>
  <c r="E31" i="3" s="1"/>
  <c r="D30" i="3"/>
  <c r="E30" i="3" s="1"/>
  <c r="D29" i="3"/>
  <c r="E29" i="3" s="1"/>
  <c r="D28" i="3"/>
  <c r="E28" i="3" s="1"/>
  <c r="D27" i="3"/>
  <c r="E27" i="3" s="1"/>
  <c r="C26" i="3"/>
  <c r="D26" i="3" s="1"/>
  <c r="E26" i="3" s="1"/>
  <c r="D25" i="3"/>
  <c r="E25" i="3" s="1"/>
  <c r="D24" i="3"/>
  <c r="E24" i="3" s="1"/>
  <c r="D23" i="3"/>
  <c r="E23" i="3" s="1"/>
  <c r="D22" i="3"/>
  <c r="E22" i="3" s="1"/>
  <c r="D21" i="3"/>
  <c r="E21" i="3" s="1"/>
  <c r="D20" i="3"/>
  <c r="E20" i="3" s="1"/>
  <c r="D19" i="3"/>
  <c r="E19" i="3" s="1"/>
  <c r="E18" i="3"/>
  <c r="D18" i="3"/>
  <c r="D17" i="3"/>
  <c r="E17" i="3" s="1"/>
  <c r="C16" i="3"/>
  <c r="D15" i="3"/>
  <c r="E15" i="3" s="1"/>
  <c r="D14" i="3"/>
  <c r="E14" i="3" s="1"/>
  <c r="D13" i="3"/>
  <c r="E13" i="3" s="1"/>
  <c r="C12" i="3"/>
  <c r="D12" i="3" s="1"/>
  <c r="E12" i="3" s="1"/>
  <c r="D11" i="3"/>
  <c r="E11" i="3" s="1"/>
  <c r="D10" i="3"/>
  <c r="E10" i="3" s="1"/>
  <c r="C9" i="3"/>
  <c r="D9" i="3" s="1"/>
  <c r="E9" i="3" s="1"/>
  <c r="C8" i="3"/>
  <c r="D8" i="3" s="1"/>
  <c r="E8" i="3" s="1"/>
  <c r="C7" i="3"/>
  <c r="D6" i="3"/>
  <c r="E6" i="3" s="1"/>
  <c r="D5" i="3"/>
  <c r="E5" i="3" s="1"/>
  <c r="C5" i="3"/>
  <c r="C377" i="3" l="1"/>
  <c r="C402" i="3"/>
  <c r="C88" i="3"/>
  <c r="C93" i="3" s="1"/>
  <c r="D93" i="3" s="1"/>
  <c r="E93" i="3" s="1"/>
  <c r="C157" i="3"/>
  <c r="B3" i="18"/>
  <c r="B33" i="18" s="1"/>
  <c r="C272" i="3"/>
  <c r="D157" i="3"/>
  <c r="E157" i="3" s="1"/>
  <c r="D86" i="3"/>
  <c r="E86" i="3" s="1"/>
  <c r="D147" i="3"/>
  <c r="E147" i="3" s="1"/>
  <c r="C362" i="3"/>
  <c r="D402" i="3"/>
  <c r="E402" i="3" s="1"/>
  <c r="D360" i="3"/>
  <c r="D88" i="3"/>
  <c r="E88" i="3" s="1"/>
  <c r="C107" i="3"/>
  <c r="D107" i="3" s="1"/>
  <c r="E107" i="3" s="1"/>
  <c r="F4" i="3"/>
  <c r="F8" i="3" s="1"/>
  <c r="D7" i="3"/>
  <c r="E7" i="3" s="1"/>
  <c r="C260" i="3"/>
  <c r="D372" i="3"/>
  <c r="E372" i="3" s="1"/>
  <c r="E258" i="3"/>
  <c r="E260" i="3" s="1"/>
  <c r="D260" i="3"/>
  <c r="C279" i="3"/>
  <c r="D272" i="3"/>
  <c r="E272" i="3" s="1"/>
  <c r="E16" i="3"/>
  <c r="D268" i="3"/>
  <c r="E268" i="3" s="1"/>
  <c r="D16" i="3"/>
  <c r="D377" i="3" l="1"/>
  <c r="E377" i="3" s="1"/>
  <c r="C404" i="3"/>
  <c r="D404" i="3" s="1"/>
  <c r="E404" i="3" s="1"/>
  <c r="C273" i="3"/>
  <c r="C264" i="3"/>
  <c r="D264" i="3" s="1"/>
  <c r="E264" i="3" s="1"/>
  <c r="D362" i="3"/>
  <c r="E360" i="3"/>
  <c r="E362" i="3" s="1"/>
  <c r="C159" i="3"/>
  <c r="C108" i="3"/>
  <c r="D108" i="3" s="1"/>
  <c r="E108" i="3" s="1"/>
  <c r="D106" i="3"/>
  <c r="E106" i="3" s="1"/>
  <c r="D279" i="3"/>
  <c r="E279" i="3" s="1"/>
  <c r="C378" i="3"/>
  <c r="C367" i="3"/>
  <c r="D367" i="3" s="1"/>
  <c r="E367" i="3" s="1"/>
  <c r="C158" i="3"/>
  <c r="D158" i="3" l="1"/>
  <c r="E158" i="3" s="1"/>
  <c r="C160" i="3"/>
  <c r="D160" i="3" s="1"/>
  <c r="E160" i="3" s="1"/>
  <c r="C379" i="3"/>
  <c r="D379" i="3" s="1"/>
  <c r="E379" i="3" s="1"/>
  <c r="D378" i="3"/>
  <c r="E378" i="3" s="1"/>
  <c r="C403" i="3"/>
  <c r="D159" i="3"/>
  <c r="E159" i="3" s="1"/>
  <c r="C409" i="3"/>
  <c r="H3" i="28" s="1"/>
  <c r="D273" i="3"/>
  <c r="E273" i="3" s="1"/>
  <c r="C278" i="3"/>
  <c r="C274" i="3"/>
  <c r="D274" i="3" s="1"/>
  <c r="E274" i="3" s="1"/>
  <c r="F3" i="28" l="1"/>
  <c r="F33" i="28" s="1"/>
  <c r="I3" i="28"/>
  <c r="I33" i="28" s="1"/>
  <c r="H33" i="28"/>
  <c r="F3" i="2"/>
  <c r="I3" i="2" s="1"/>
  <c r="K3" i="18"/>
  <c r="F3" i="18" s="1"/>
  <c r="D278" i="3"/>
  <c r="E278" i="3" s="1"/>
  <c r="C280" i="3"/>
  <c r="D280" i="3" s="1"/>
  <c r="E280" i="3" s="1"/>
  <c r="D409" i="3"/>
  <c r="D403" i="3"/>
  <c r="E403" i="3" s="1"/>
  <c r="C408" i="3"/>
  <c r="C405" i="3"/>
  <c r="D405" i="3" s="1"/>
  <c r="E405" i="3" s="1"/>
  <c r="D34" i="28" l="1"/>
  <c r="B34" i="28"/>
  <c r="I34" i="28"/>
  <c r="I36" i="28" s="1"/>
  <c r="C34" i="28"/>
  <c r="G34" i="28"/>
  <c r="E41" i="28"/>
  <c r="E34" i="28"/>
  <c r="F34" i="28"/>
  <c r="H34" i="28"/>
  <c r="F33" i="2"/>
  <c r="D408" i="3"/>
  <c r="E408" i="3" s="1"/>
  <c r="E3" i="18"/>
  <c r="E409" i="3"/>
  <c r="E410" i="3" s="1"/>
  <c r="E412" i="3" s="1"/>
  <c r="D410" i="3"/>
  <c r="D412" i="3" s="1"/>
  <c r="C410" i="3"/>
  <c r="C412" i="3" s="1"/>
  <c r="F33" i="18"/>
  <c r="L3" i="18"/>
  <c r="K33" i="18"/>
  <c r="I33" i="2"/>
  <c r="K13" i="2"/>
  <c r="D36" i="28" l="1"/>
  <c r="L33" i="18"/>
  <c r="L36" i="18" s="1"/>
  <c r="H3" i="2"/>
  <c r="H33" i="2" s="1"/>
  <c r="E33" i="2"/>
  <c r="G3" i="2"/>
  <c r="D3" i="18"/>
  <c r="D33" i="18" s="1"/>
  <c r="D35" i="18" s="1"/>
  <c r="E33" i="18"/>
  <c r="K35" i="18" l="1"/>
  <c r="E35" i="18"/>
  <c r="B34" i="18"/>
  <c r="G33" i="2"/>
  <c r="J3" i="2"/>
  <c r="J33" i="2" s="1"/>
  <c r="D36" i="18" l="1"/>
  <c r="H41" i="2"/>
  <c r="G38" i="2"/>
</calcChain>
</file>

<file path=xl/comments1.xml><?xml version="1.0" encoding="utf-8"?>
<comments xmlns="http://schemas.openxmlformats.org/spreadsheetml/2006/main">
  <authors>
    <author>tc={6CCAC1BF-461C-4914-8951-27812EC170DB}</author>
  </authors>
  <commentList>
    <comment ref="H5" author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Co funding 106 m</t>
        </r>
      </text>
    </comment>
  </commentList>
</comments>
</file>

<file path=xl/comments10.xml><?xml version="1.0" encoding="utf-8"?>
<comments xmlns="http://schemas.openxmlformats.org/spreadsheetml/2006/main">
  <authors>
    <author>tc={A1468F28-242E-4446-8D9F-5175296BD74D}</author>
  </authors>
  <commentList>
    <comment ref="C71" author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High altitude +18m</t>
        </r>
      </text>
    </comment>
  </commentList>
</comments>
</file>

<file path=xl/comments11.xml><?xml version="1.0" encoding="utf-8"?>
<comments xmlns="http://schemas.openxmlformats.org/spreadsheetml/2006/main">
  <authors>
    <author>USER-PC</author>
  </authors>
  <commentList>
    <comment ref="B144" authorId="0">
      <text>
        <r>
          <rPr>
            <b/>
            <sz val="9"/>
            <color indexed="81"/>
            <rFont val="Tahoma"/>
            <family val="2"/>
          </rPr>
          <t>Symon:</t>
        </r>
        <r>
          <rPr>
            <sz val="9"/>
            <color indexed="81"/>
            <rFont val="Tahoma"/>
            <family val="2"/>
          </rPr>
          <t xml:space="preserve">
Gazette notice No. 8792 of 27th July, 2022
Kshs. 2,212,000*62 MCAs</t>
        </r>
      </text>
    </comment>
    <comment ref="B145" authorId="0">
      <text>
        <r>
          <rPr>
            <b/>
            <sz val="9"/>
            <color indexed="81"/>
            <rFont val="Tahoma"/>
            <family val="2"/>
          </rPr>
          <t>Symon:</t>
        </r>
        <r>
          <rPr>
            <sz val="9"/>
            <color indexed="81"/>
            <rFont val="Tahoma"/>
            <family val="2"/>
          </rPr>
          <t xml:space="preserve">
Gazette notice No. 8792 of 27th July, 2022
Kshs. 30,167*62*10 MCAs</t>
        </r>
      </text>
    </comment>
  </commentList>
</comments>
</file>

<file path=xl/comments2.xml><?xml version="1.0" encoding="utf-8"?>
<comments xmlns="http://schemas.openxmlformats.org/spreadsheetml/2006/main">
  <authors>
    <author>tc={90637DAE-EFA0-4F82-AB0E-DA38CEC44E0F}</author>
  </authors>
  <commentList>
    <comment ref="E38" author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Remove
</t>
        </r>
      </text>
    </comment>
  </commentList>
</comments>
</file>

<file path=xl/comments3.xml><?xml version="1.0" encoding="utf-8"?>
<comments xmlns="http://schemas.openxmlformats.org/spreadsheetml/2006/main">
  <authors>
    <author>tc={E2683867-BD14-4A45-86F4-B4C3C1012F3E}</author>
    <author>tc={F78DC6D3-7FBA-45F3-878E-72FB37544037}</author>
  </authors>
  <commentList>
    <comment ref="D5" author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Engineers estimates</t>
        </r>
      </text>
    </comment>
    <comment ref="C15" authorId="1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Move to development. Infrasructure support</t>
        </r>
      </text>
    </comment>
  </commentList>
</comments>
</file>

<file path=xl/comments4.xml><?xml version="1.0" encoding="utf-8"?>
<comments xmlns="http://schemas.openxmlformats.org/spreadsheetml/2006/main">
  <authors>
    <author>lenovo</author>
    <author>tc={155D8A4A-B63E-4CE0-B66A-CBE6855BE2B2}</author>
  </authors>
  <commentList>
    <comment ref="C103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PLANTING AND TOP DRESSING FERTILIZER</t>
        </r>
      </text>
    </comment>
    <comment ref="C372" authorId="1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Chwele fish farm</t>
        </r>
      </text>
    </comment>
  </commentList>
</comments>
</file>

<file path=xl/comments5.xml><?xml version="1.0" encoding="utf-8"?>
<comments xmlns="http://schemas.openxmlformats.org/spreadsheetml/2006/main">
  <authors>
    <author>tc={AEAFDBF3-3DCA-4719-B3FE-0F496C946658}</author>
  </authors>
  <commentList>
    <comment ref="C41" author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Moved to dev.</t>
        </r>
      </text>
    </comment>
  </commentList>
</comments>
</file>

<file path=xl/comments6.xml><?xml version="1.0" encoding="utf-8"?>
<comments xmlns="http://schemas.openxmlformats.org/spreadsheetml/2006/main">
  <authors>
    <author>tc={FF7A5559-007C-473E-A92A-E05C9433A270}</author>
    <author>tc={B8B45F34-CB0E-4EDB-B7D1-4E86380E7E7E}</author>
    <author>tc={AE9E7B98-D9B2-4D4E-8611-3978939138AB}</author>
  </authors>
  <commentList>
    <comment ref="C57" author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Brigadier 20
Salmond 20</t>
        </r>
      </text>
    </comment>
    <comment ref="C59" authorId="1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Routine maintenance</t>
        </r>
      </text>
    </comment>
    <comment ref="C62" authorId="2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culvets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E8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bcrh equpiping
less 50m
SIRISIA 20M
11,460,520  MORTUARY</t>
        </r>
      </text>
    </comment>
    <comment ref="C733" authorId="0">
      <text/>
    </comment>
    <comment ref="C734" authorId="0">
      <text>
        <r>
          <rPr>
            <b/>
            <sz val="9"/>
            <rFont val="Times New Roman"/>
            <family val="1"/>
          </rPr>
          <t>user:</t>
        </r>
        <r>
          <rPr>
            <sz val="9"/>
            <rFont val="Times New Roman"/>
            <family val="1"/>
          </rPr>
          <t xml:space="preserve">
</t>
        </r>
      </text>
    </comment>
    <comment ref="C736" authorId="0">
      <text>
        <r>
          <rPr>
            <b/>
            <sz val="9"/>
            <rFont val="Times New Roman"/>
            <family val="1"/>
          </rPr>
          <t>user:</t>
        </r>
        <r>
          <rPr>
            <sz val="9"/>
            <rFont val="Times New Roman"/>
            <family val="1"/>
          </rPr>
          <t xml:space="preserve">
30000 per month by 12
</t>
        </r>
      </text>
    </comment>
    <comment ref="C737" authorId="0">
      <text>
        <r>
          <rPr>
            <b/>
            <sz val="9"/>
            <rFont val="Times New Roman"/>
            <family val="1"/>
          </rPr>
          <t>user:</t>
        </r>
        <r>
          <rPr>
            <sz val="9"/>
            <rFont val="Times New Roman"/>
            <family val="1"/>
          </rPr>
          <t xml:space="preserve">
10000by 12months
</t>
        </r>
      </text>
    </comment>
    <comment ref="C740" authorId="0">
      <text>
        <r>
          <rPr>
            <b/>
            <sz val="9"/>
            <rFont val="Times New Roman"/>
            <family val="1"/>
          </rPr>
          <t>user:</t>
        </r>
        <r>
          <rPr>
            <sz val="9"/>
            <rFont val="Times New Roman"/>
            <family val="1"/>
          </rPr>
          <t xml:space="preserve">
10000per week by 52weeks
</t>
        </r>
      </text>
    </comment>
    <comment ref="C741" authorId="0">
      <text>
        <r>
          <rPr>
            <b/>
            <sz val="9"/>
            <rFont val="Times New Roman"/>
            <family val="1"/>
          </rPr>
          <t>user:</t>
        </r>
        <r>
          <rPr>
            <sz val="9"/>
            <rFont val="Times New Roman"/>
            <family val="1"/>
          </rPr>
          <t xml:space="preserve">
15 person by 11200 perdiem 3days
</t>
        </r>
      </text>
    </comment>
    <comment ref="C758" authorId="0">
      <text>
        <r>
          <rPr>
            <b/>
            <sz val="9"/>
            <rFont val="Times New Roman"/>
            <family val="1"/>
          </rPr>
          <t>user:</t>
        </r>
        <r>
          <rPr>
            <sz val="9"/>
            <rFont val="Times New Roman"/>
            <family val="1"/>
          </rPr>
          <t xml:space="preserve">
cater for meeting
</t>
        </r>
      </text>
    </comment>
  </commentList>
</comments>
</file>

<file path=xl/comments8.xml><?xml version="1.0" encoding="utf-8"?>
<comments xmlns="http://schemas.openxmlformats.org/spreadsheetml/2006/main">
  <authors>
    <author>tc={2DB35842-84DC-4AED-B466-28D934733A5A}</author>
  </authors>
  <commentList>
    <comment ref="C57" author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Policies 5 m</t>
        </r>
      </text>
    </comment>
  </commentList>
</comments>
</file>

<file path=xl/comments9.xml><?xml version="1.0" encoding="utf-8"?>
<comments xmlns="http://schemas.openxmlformats.org/spreadsheetml/2006/main">
  <authors>
    <author>tc={DB0CE1C9-5501-4B00-8E1D-279A61B5609A}</author>
  </authors>
  <commentList>
    <comment ref="C43" author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Webuye&amp; Chwele</t>
        </r>
      </text>
    </comment>
  </commentList>
</comments>
</file>

<file path=xl/sharedStrings.xml><?xml version="1.0" encoding="utf-8"?>
<sst xmlns="http://schemas.openxmlformats.org/spreadsheetml/2006/main" count="5787" uniqueCount="1310">
  <si>
    <t>CODE</t>
  </si>
  <si>
    <t>Basic salary</t>
  </si>
  <si>
    <t>Basic  Salary civil services</t>
  </si>
  <si>
    <t>2110200</t>
  </si>
  <si>
    <t xml:space="preserve">Basic Wages - Temporary Employees </t>
  </si>
  <si>
    <t>2110201</t>
  </si>
  <si>
    <t>Contractual Employees</t>
  </si>
  <si>
    <t>2110202</t>
  </si>
  <si>
    <t>Casual Labour - Others</t>
  </si>
  <si>
    <t>Personal Allowance -Paid as Part of Salary</t>
  </si>
  <si>
    <t>House Allowance</t>
  </si>
  <si>
    <t>Medical Allowance</t>
  </si>
  <si>
    <t>Special Duty /non practicing/ acting allowance</t>
  </si>
  <si>
    <t>Personal Allowance Paid as Reimbursements</t>
  </si>
  <si>
    <t>Refund of Medical Expenses-InPatient</t>
  </si>
  <si>
    <t>Refund of Medical Expenses-Ex-Gratia</t>
  </si>
  <si>
    <t>Leave Expenses</t>
  </si>
  <si>
    <t>2120100</t>
  </si>
  <si>
    <t>Employer Contributions to Compulsory National Social Security Schemes</t>
  </si>
  <si>
    <t>2120101</t>
  </si>
  <si>
    <t>Employer Contributions to National Social Security Fund</t>
  </si>
  <si>
    <t>2120103</t>
  </si>
  <si>
    <t>Employer Contribution to Staff Pensions Scheme</t>
  </si>
  <si>
    <t>Utilities Supplies and Services</t>
  </si>
  <si>
    <t>Electricity Expenses</t>
  </si>
  <si>
    <t>Water and Sewerage charges</t>
  </si>
  <si>
    <t>Communication Supplies and Services</t>
  </si>
  <si>
    <t>Telephone,Telex,Facsmile and internet</t>
  </si>
  <si>
    <t xml:space="preserve">Internet Connections </t>
  </si>
  <si>
    <t>Courier and Postal Services</t>
  </si>
  <si>
    <t>Domestic Travel and Subsistence, and Other Transportation Costs</t>
  </si>
  <si>
    <t>TravelCosts(Airlines,Bus,Railwayc)</t>
  </si>
  <si>
    <t>Daily Subsistance Allowances and accomodation</t>
  </si>
  <si>
    <t>2210309</t>
  </si>
  <si>
    <t xml:space="preserve">Field Allowance </t>
  </si>
  <si>
    <t>2210310</t>
  </si>
  <si>
    <t>Field Operational Allowance</t>
  </si>
  <si>
    <t>Foriegn Travel and Subsistence, and Other Transportation Costs</t>
  </si>
  <si>
    <t>Printing , Advertising and Information Supplies and Services</t>
  </si>
  <si>
    <t>Publishing and Printing Servises</t>
  </si>
  <si>
    <t>Subscription to Newspapers,</t>
  </si>
  <si>
    <t>Trade Shows and Exhibitions</t>
  </si>
  <si>
    <t>Rentals of Produced Assets</t>
  </si>
  <si>
    <t>Rents and Rates - Non-Residential</t>
  </si>
  <si>
    <t>Hire of Transport</t>
  </si>
  <si>
    <t xml:space="preserve">Training Expenses </t>
  </si>
  <si>
    <t>Field Training Attachments</t>
  </si>
  <si>
    <t>Tuition / training fees</t>
  </si>
  <si>
    <t>Hospitality Supplies and Services</t>
  </si>
  <si>
    <t>Catering services,receptions,Ac</t>
  </si>
  <si>
    <t>Committes Boards and Conferances</t>
  </si>
  <si>
    <t>Specialised Materials and Supplies</t>
  </si>
  <si>
    <t>Education and Library Supplies</t>
  </si>
  <si>
    <t>Veterinary supplies &amp; materials</t>
  </si>
  <si>
    <t>Fungicides insectcides &amp; sprays</t>
  </si>
  <si>
    <t>Purchase of Uniforms and Clothing - Staff</t>
  </si>
  <si>
    <t>Office and General Supplies and Services</t>
  </si>
  <si>
    <t>General Office Supplies (Paper</t>
  </si>
  <si>
    <t>Supplies and Accessories for Computers and Printers</t>
  </si>
  <si>
    <t>Sanitary and cleaning materials,</t>
  </si>
  <si>
    <t>Fuel Oil and Lubricants</t>
  </si>
  <si>
    <t>Refined Fuels &amp; Lubricants</t>
  </si>
  <si>
    <t>Other Operating Expenses</t>
  </si>
  <si>
    <t>Bank charges</t>
  </si>
  <si>
    <t>Contracted Guards and Cleaning Services</t>
  </si>
  <si>
    <t>Membership Fees, Dues and Subscriptions to Professional and Trade Bodies</t>
  </si>
  <si>
    <t>Motor Vehicle Insurance</t>
  </si>
  <si>
    <t xml:space="preserve">Purchase of Motor vehicles </t>
  </si>
  <si>
    <t>suppliers credits</t>
  </si>
  <si>
    <t xml:space="preserve">Legal Dues/fees, Arbitration and Compensation Payments </t>
  </si>
  <si>
    <t>Contracted Professional and technical Services</t>
  </si>
  <si>
    <t>Routine Maintenance - Vehicles and Other Transport Equipment</t>
  </si>
  <si>
    <t>Maintenance Expenses - Motor Vehicles</t>
  </si>
  <si>
    <t>Routine Maintenance - Other Assets</t>
  </si>
  <si>
    <t>Maintenance of Plant, Machinery and Equipment (including lifts)</t>
  </si>
  <si>
    <t>Maintenance of Office Furniture and Equipment</t>
  </si>
  <si>
    <t>Maintenance of Buildings and Stations -- Non-Residential</t>
  </si>
  <si>
    <t>Maintenance of Computers, Software, and Networks</t>
  </si>
  <si>
    <t>Government Pension and Retirement Benefits</t>
  </si>
  <si>
    <t>Gratuity  and Honorarium</t>
  </si>
  <si>
    <t>Gratuity - Ministers</t>
  </si>
  <si>
    <t>Purchase of Household Furniture and Institutional Equipment</t>
  </si>
  <si>
    <t>Purchase of Office Furniture and General Equipment</t>
  </si>
  <si>
    <t>Purchase of Office Furniture and Fittings</t>
  </si>
  <si>
    <t>Purchase of Computers, Printers and other IT Equipment</t>
  </si>
  <si>
    <t>Pre-Feasibility Studies</t>
  </si>
  <si>
    <t>Research</t>
  </si>
  <si>
    <t>GRAND TOTAL FOR RECURRENT</t>
  </si>
  <si>
    <t>AIA</t>
  </si>
  <si>
    <t>NET RECURRENT</t>
  </si>
  <si>
    <t xml:space="preserve">DEVELOPMENT PROJECTS </t>
  </si>
  <si>
    <t>Purchase of lighting equipment</t>
  </si>
  <si>
    <t>Development/Physical Planning</t>
  </si>
  <si>
    <t>Supplies for credit</t>
  </si>
  <si>
    <t>Ward Based Projects</t>
  </si>
  <si>
    <t>Dev. Totals</t>
  </si>
  <si>
    <t>GRAND TOTALS</t>
  </si>
  <si>
    <t>TOURISM AND ENVIRONMENT</t>
  </si>
  <si>
    <t>2110101</t>
  </si>
  <si>
    <t>Basic Salaries - Civil Service</t>
  </si>
  <si>
    <t>Contractual employees</t>
  </si>
  <si>
    <t>2210101</t>
  </si>
  <si>
    <t>Electricity</t>
  </si>
  <si>
    <t>2210102</t>
  </si>
  <si>
    <t>Water and sewerage charges</t>
  </si>
  <si>
    <t>2210201</t>
  </si>
  <si>
    <t xml:space="preserve">Telephone, Telex, Facsimile and Mobile Phone Services </t>
  </si>
  <si>
    <t>2210202</t>
  </si>
  <si>
    <t>Internet Connections</t>
  </si>
  <si>
    <t>2210203</t>
  </si>
  <si>
    <t>2210301</t>
  </si>
  <si>
    <t xml:space="preserve">Travel Costs (airlines, bus, railway, mileage allowances, etc.) </t>
  </si>
  <si>
    <t>2210302</t>
  </si>
  <si>
    <t>Accommodation - Domestic Travel</t>
  </si>
  <si>
    <t>2210303</t>
  </si>
  <si>
    <t xml:space="preserve">Daily Subsistence Allowance </t>
  </si>
  <si>
    <t>Field Allowance</t>
  </si>
  <si>
    <t>2210400</t>
  </si>
  <si>
    <t>Foreign Travel and Subsistence, and other transportation costs</t>
  </si>
  <si>
    <t>2210401</t>
  </si>
  <si>
    <t>Travel Costs (airlines, bus, railway, etc.)</t>
  </si>
  <si>
    <t>2210403</t>
  </si>
  <si>
    <t>2210503</t>
  </si>
  <si>
    <t>Subscriptions to Newspapers, Magazines and Periodicals</t>
  </si>
  <si>
    <t>2210504</t>
  </si>
  <si>
    <t>Advertising, Awareness and Publicity Campaigns</t>
  </si>
  <si>
    <t>Trade shows and exhibitions</t>
  </si>
  <si>
    <t>2210710</t>
  </si>
  <si>
    <t>Accommodation Allowance</t>
  </si>
  <si>
    <t>2210711</t>
  </si>
  <si>
    <t>Tuition Fees</t>
  </si>
  <si>
    <t>2210801</t>
  </si>
  <si>
    <t xml:space="preserve">Catering Services </t>
  </si>
  <si>
    <t>2210802</t>
  </si>
  <si>
    <t>Boards &amp; Committees</t>
  </si>
  <si>
    <t>National Celebrations</t>
  </si>
  <si>
    <t>Plant Insurance</t>
  </si>
  <si>
    <t>Motor vehicle insurance</t>
  </si>
  <si>
    <t>2211101</t>
  </si>
  <si>
    <t xml:space="preserve">General Office Supplies </t>
  </si>
  <si>
    <t>2211103</t>
  </si>
  <si>
    <t>Sanitary and Cleaning Materials</t>
  </si>
  <si>
    <t>2211201</t>
  </si>
  <si>
    <t>Refined Fuels and Lubricants for Transport</t>
  </si>
  <si>
    <t>2211305</t>
  </si>
  <si>
    <t>2211306</t>
  </si>
  <si>
    <t>Professional Membership Fees</t>
  </si>
  <si>
    <t>Supplier credit</t>
  </si>
  <si>
    <t>2220101</t>
  </si>
  <si>
    <t>Maintenance of office furniture and equipment</t>
  </si>
  <si>
    <t>Maintenance of Buildings and stations non-residential</t>
  </si>
  <si>
    <t>Maintenance of computers, software and networks</t>
  </si>
  <si>
    <t>Other infrastructure and civil works</t>
  </si>
  <si>
    <t>3111001</t>
  </si>
  <si>
    <t>Purchase of Computers</t>
  </si>
  <si>
    <t>Pre-feasibility, Feasibility and Appraisal Studies</t>
  </si>
  <si>
    <t>TOTAL RECURRENT</t>
  </si>
  <si>
    <t>A.I.A</t>
  </si>
  <si>
    <t>DEVELOPMENT EXPENDITURE</t>
  </si>
  <si>
    <t>Feasibility and Appraisal studies</t>
  </si>
  <si>
    <t>TOTAL DEVELOPMENT</t>
  </si>
  <si>
    <t>TOTAL</t>
  </si>
  <si>
    <t>WATER AND NATURAL RESOURCES</t>
  </si>
  <si>
    <t>Field operations(supervision)</t>
  </si>
  <si>
    <t>Travel Allowance</t>
  </si>
  <si>
    <t>National celebrations</t>
  </si>
  <si>
    <t>2210903</t>
  </si>
  <si>
    <t>Plant, Equipment and Machinery Insurance</t>
  </si>
  <si>
    <t xml:space="preserve">maintenance of civil works </t>
  </si>
  <si>
    <t>Prefeasibility and appraisal</t>
  </si>
  <si>
    <t>Prefeasibility and appraisal(KOICA FUNDING)</t>
  </si>
  <si>
    <t>Research, Feasibility studies</t>
  </si>
  <si>
    <t>Engineering and Design plans</t>
  </si>
  <si>
    <t>purchase of workshop tools,spares and small equipments(drilling tools and accessories,borehole casing)</t>
  </si>
  <si>
    <t>Overhaul of water supplies</t>
  </si>
  <si>
    <t>Overhaul of other infrastructure and civil works-water</t>
  </si>
  <si>
    <t>Other infrastructure and Civil works(CEF projects)</t>
  </si>
  <si>
    <t>Rehabilitation of Civil works</t>
  </si>
  <si>
    <t>Water supplies and Sewerage</t>
  </si>
  <si>
    <t>3110504</t>
  </si>
  <si>
    <t>Other infrastructure and Civil works(KOICA2)</t>
  </si>
  <si>
    <t>MINISTRY OF HEALTH AND SANITATION</t>
  </si>
  <si>
    <t>HEALTH ADMINISTRATION AND FINANCE</t>
  </si>
  <si>
    <t>ESTIMATES FOR 2023/2024</t>
  </si>
  <si>
    <t>ESTIMATES FOR 2024/2025</t>
  </si>
  <si>
    <t>2110100</t>
  </si>
  <si>
    <t>Basic Salaries - Permanent Employees</t>
  </si>
  <si>
    <t>Basic Salaries- civil service</t>
  </si>
  <si>
    <t>Casual Labour</t>
  </si>
  <si>
    <t>Other Capital Grants and Trasfers.</t>
  </si>
  <si>
    <t>Unicef</t>
  </si>
  <si>
    <t>DANIDA grant for universal Health care in devolved system program</t>
  </si>
  <si>
    <t>2210100</t>
  </si>
  <si>
    <t>2210200</t>
  </si>
  <si>
    <t>Communication, Supplies and Services</t>
  </si>
  <si>
    <t>2210300</t>
  </si>
  <si>
    <t>Field operational allowance</t>
  </si>
  <si>
    <t>2210402</t>
  </si>
  <si>
    <t xml:space="preserve">Accommodation </t>
  </si>
  <si>
    <t>2210500</t>
  </si>
  <si>
    <t>2210502</t>
  </si>
  <si>
    <t>Publishing and Printing Services</t>
  </si>
  <si>
    <t>2210505</t>
  </si>
  <si>
    <t>2210700</t>
  </si>
  <si>
    <t>Field Training Attachments COSECSA $ ICU</t>
  </si>
  <si>
    <t>2210800</t>
  </si>
  <si>
    <t xml:space="preserve">Catering Services (receptions), Accommodation, Gifts, Food and Drinks </t>
  </si>
  <si>
    <t>Boards, Committees, Conferences and Seminars</t>
  </si>
  <si>
    <t>2210900</t>
  </si>
  <si>
    <t>Insurance Costs</t>
  </si>
  <si>
    <t>2210904</t>
  </si>
  <si>
    <t>2211000</t>
  </si>
  <si>
    <t>2211001</t>
  </si>
  <si>
    <t>Medical Drugs</t>
  </si>
  <si>
    <t>2211002</t>
  </si>
  <si>
    <t>Dressings and Other Non-Pharmaceutical Medical Items</t>
  </si>
  <si>
    <t>2211004</t>
  </si>
  <si>
    <t>Fungicides, Insecticides and Sprays</t>
  </si>
  <si>
    <t>Chemicals and Industrial Gases</t>
  </si>
  <si>
    <t>2211008</t>
  </si>
  <si>
    <t>Laboratory Materials, Supplies and Small Equipment</t>
  </si>
  <si>
    <t>2211015</t>
  </si>
  <si>
    <t>Food and Rations</t>
  </si>
  <si>
    <t>2211021</t>
  </si>
  <si>
    <t>Purchase of Bedding and Linen</t>
  </si>
  <si>
    <t>2211028</t>
  </si>
  <si>
    <t>Purchase of X-Rays equipment and Supplies</t>
  </si>
  <si>
    <t>2211100</t>
  </si>
  <si>
    <t xml:space="preserve">General Office Supplies (papers, pencils, forms, small office equipment etc) </t>
  </si>
  <si>
    <t>2211102</t>
  </si>
  <si>
    <t>Sanitary and Cleaning Materials, Supplies and Services</t>
  </si>
  <si>
    <t>2211200</t>
  </si>
  <si>
    <t>2211204</t>
  </si>
  <si>
    <t>Other Fuels (wood, charcoal, cooking gas)</t>
  </si>
  <si>
    <t>2211300</t>
  </si>
  <si>
    <t>2211304</t>
  </si>
  <si>
    <t>Medical Expenses</t>
  </si>
  <si>
    <t>2220100</t>
  </si>
  <si>
    <t>2220200</t>
  </si>
  <si>
    <t>2220203</t>
  </si>
  <si>
    <t>Maintenance of Medical and Dental Equipment</t>
  </si>
  <si>
    <t>2220205</t>
  </si>
  <si>
    <t>2220210</t>
  </si>
  <si>
    <t>HEALTH RECURRENT</t>
  </si>
  <si>
    <t>NET</t>
  </si>
  <si>
    <t>Pending bills</t>
  </si>
  <si>
    <t>HEALTH DEVELOPMENT</t>
  </si>
  <si>
    <t xml:space="preserve"> Internet Connections</t>
  </si>
  <si>
    <t xml:space="preserve"> Travel Costs (airlines, bus, railway, mileage allowances, etc.)</t>
  </si>
  <si>
    <t xml:space="preserve"> Hospitality Supplies and Services</t>
  </si>
  <si>
    <t xml:space="preserve"> Fungicides, Insecticides and Sprays</t>
  </si>
  <si>
    <t>Purchase of Uniforms and Clothing - Patients</t>
  </si>
  <si>
    <t xml:space="preserve"> General Office Supplies (papers, pencils, forms, small office equipment</t>
  </si>
  <si>
    <t xml:space="preserve"> Refined Fuels and Lubricants for Transport</t>
  </si>
  <si>
    <t xml:space="preserve"> Purchase of Office Furniture and General Equipment</t>
  </si>
  <si>
    <t xml:space="preserve"> Purchase of Office Furniture and Fittings</t>
  </si>
  <si>
    <t xml:space="preserve"> Purchase of Computers, Printers and other IT Equipment</t>
  </si>
  <si>
    <t xml:space="preserve"> Purchase of Medical and Dental Equipment</t>
  </si>
  <si>
    <t xml:space="preserve">WEBUYE COUNTY HOSPITAL </t>
  </si>
  <si>
    <t>2210600</t>
  </si>
  <si>
    <t>2210603</t>
  </si>
  <si>
    <t>2211005</t>
  </si>
  <si>
    <t>2211016</t>
  </si>
  <si>
    <t>Purchase of X-Rays Supplies</t>
  </si>
  <si>
    <t>Other Fuels (wood, charcoal, cooking gas etc…)</t>
  </si>
  <si>
    <t>2211301</t>
  </si>
  <si>
    <t>Bank Service Commission and Charges</t>
  </si>
  <si>
    <t>Medical Expenses(Patient files and cards)</t>
  </si>
  <si>
    <t>Supply for credit</t>
  </si>
  <si>
    <t>2220201</t>
  </si>
  <si>
    <t>2220202</t>
  </si>
  <si>
    <t>Purchase of Institutional equipment</t>
  </si>
  <si>
    <t>3110902</t>
  </si>
  <si>
    <t>Purchase of Household and Institutional Appliances</t>
  </si>
  <si>
    <t>3111000</t>
  </si>
  <si>
    <t>3111002</t>
  </si>
  <si>
    <t>3111003</t>
  </si>
  <si>
    <t>Purchase of Airconditioners, Fans and Heating Appliances</t>
  </si>
  <si>
    <t>3111100</t>
  </si>
  <si>
    <t>Purchase of Specialised Plant, Equipment and Machinery</t>
  </si>
  <si>
    <t>3111106</t>
  </si>
  <si>
    <t>Purchase of Fire fighting Vehicles and Equipment</t>
  </si>
  <si>
    <t>3111111</t>
  </si>
  <si>
    <t>Purchase of ICT networking and Communications Equipment</t>
  </si>
  <si>
    <t>Research(Baseline survey)</t>
  </si>
  <si>
    <t>KIMILILI SUB COUNTY HOSPITAL</t>
  </si>
  <si>
    <t>2211308</t>
  </si>
  <si>
    <t>TOTAL KIMILILI</t>
  </si>
  <si>
    <t>MT ELGON SUB COUNTY HOSPITAL</t>
  </si>
  <si>
    <t>2110300</t>
  </si>
  <si>
    <t>Personal Allowance - Paid as Part of Salary</t>
  </si>
  <si>
    <t>2110301</t>
  </si>
  <si>
    <t>2110320</t>
  </si>
  <si>
    <t>Leave Allowance</t>
  </si>
  <si>
    <t>2110400</t>
  </si>
  <si>
    <t>Personal Allowances Paid as Reimbursements</t>
  </si>
  <si>
    <t>BUMULA SUB COUNTY HOSPTAL</t>
  </si>
  <si>
    <t>TOTAL BUMULA</t>
  </si>
  <si>
    <t>CHWELE SUB COUNTY HOSPITAL</t>
  </si>
  <si>
    <t>SIRISIA SUB COUNTY HOSPITAL</t>
  </si>
  <si>
    <t>CHEPTAIS SUB COUNTY HOSPITAL</t>
  </si>
  <si>
    <t xml:space="preserve"> Domestic Travel and Subsistence, and Other Transportation Costs</t>
  </si>
  <si>
    <t xml:space="preserve"> Printing , Advertising and Information Supplies and Services</t>
  </si>
  <si>
    <t>Subscriptions to Legal documents</t>
  </si>
  <si>
    <t>Laboratory fees</t>
  </si>
  <si>
    <t>Purchase staff uniforms</t>
  </si>
  <si>
    <t>purchase of furniture</t>
  </si>
  <si>
    <t>PUBLIC HEALTH TOTAL</t>
  </si>
  <si>
    <t>Sale of Goods and Fees for Services (AIA)</t>
  </si>
  <si>
    <t>TOTAL HEALTH</t>
  </si>
  <si>
    <t>Sanitation</t>
  </si>
  <si>
    <t xml:space="preserve">Basic salary- Permanent Employees </t>
  </si>
  <si>
    <t>2210705</t>
  </si>
  <si>
    <t>SANITATION RECURRENT</t>
  </si>
  <si>
    <t>SANITATION DEVELOPMENT</t>
  </si>
  <si>
    <t>GRAND TOTAL SANITATION</t>
  </si>
  <si>
    <t>HEALTH AND SANITATION RECURRENT</t>
  </si>
  <si>
    <t>HEALTH AND SANITATION DEVELOPMENT</t>
  </si>
  <si>
    <t>TOTAL HEALTH AND SANITATION</t>
  </si>
  <si>
    <t>Code</t>
  </si>
  <si>
    <t>ESTIMATES  2024/25</t>
  </si>
  <si>
    <t>Salary</t>
  </si>
  <si>
    <t>Gross Salary civil services</t>
  </si>
  <si>
    <t>advertising awareness</t>
  </si>
  <si>
    <t>Committees Boards and Conferences</t>
  </si>
  <si>
    <t>General Office Supplies (Printing papers, files, writing mtrls and envelopes)</t>
  </si>
  <si>
    <t>Purchase of electrical equipment for street lights</t>
  </si>
  <si>
    <t xml:space="preserve">Research </t>
  </si>
  <si>
    <t xml:space="preserve">Other infrastructure and civil works </t>
  </si>
  <si>
    <t>Overhaul of other infrustructure and civil works</t>
  </si>
  <si>
    <t>Ward based projects</t>
  </si>
  <si>
    <t>TravelCosts(Airlines,Bus,Railways)</t>
  </si>
  <si>
    <t>2210709</t>
  </si>
  <si>
    <t>Research allowance</t>
  </si>
  <si>
    <t>Refined Fuels &amp; Lubri</t>
  </si>
  <si>
    <t xml:space="preserve">Maintanance of Residential Houses </t>
  </si>
  <si>
    <t>Purchase of Airconditioners, Fans and Heating Appliances (KPLC)</t>
  </si>
  <si>
    <t xml:space="preserve">                                                                           CONSOLIDATED  BUDGET </t>
  </si>
  <si>
    <t>s</t>
  </si>
  <si>
    <t>A. REVENUE</t>
  </si>
  <si>
    <t>NO.</t>
  </si>
  <si>
    <t>SOURCE</t>
  </si>
  <si>
    <t>Bal. b/f  -       (i) Equitable Share.</t>
  </si>
  <si>
    <t xml:space="preserve">               ii) Grants: </t>
  </si>
  <si>
    <t>Transfers from Central Government</t>
  </si>
  <si>
    <t>Conditional Grant- National Government:</t>
  </si>
  <si>
    <t>Conditional Grants- Development Partners:</t>
  </si>
  <si>
    <t>Kenya Devolution Support Programme- Level 11</t>
  </si>
  <si>
    <t>III) KISP II (Kenya Informal Settlement Improvement Project)</t>
  </si>
  <si>
    <t>Retension</t>
  </si>
  <si>
    <t>Locally Generated AIA:</t>
  </si>
  <si>
    <t>iii) Roads and Public works</t>
  </si>
  <si>
    <t>iv) Education, Science and  ICT</t>
  </si>
  <si>
    <t>vii) Lands Urban and Physical Planning</t>
  </si>
  <si>
    <t>viii) Gender, Culture, Youth and sports</t>
  </si>
  <si>
    <t>ix) County Service Board</t>
  </si>
  <si>
    <t>x)Housing and Sanitation</t>
  </si>
  <si>
    <t>xi)Public Administration</t>
  </si>
  <si>
    <t>LOCAL REVENUE AS PER  EXPECTED FINANCE ACT</t>
  </si>
  <si>
    <t>DEFICIT</t>
  </si>
  <si>
    <t>Total</t>
  </si>
  <si>
    <t>Land Rates</t>
  </si>
  <si>
    <t>Alcoholic Drinks Licenses</t>
  </si>
  <si>
    <t>Single Business Permits</t>
  </si>
  <si>
    <t>Application Fees</t>
  </si>
  <si>
    <t>Renewal fees</t>
  </si>
  <si>
    <t>Conservancy Fees</t>
  </si>
  <si>
    <t>Advertisement Fees</t>
  </si>
  <si>
    <t>Car Parking Fees</t>
  </si>
  <si>
    <t>Bodaboda Parking Fees</t>
  </si>
  <si>
    <t>House Rent</t>
  </si>
  <si>
    <t>Plan Approval</t>
  </si>
  <si>
    <t>Inspection Fee</t>
  </si>
  <si>
    <t>Ground Fees</t>
  </si>
  <si>
    <t>Market Fees</t>
  </si>
  <si>
    <t>Slaughter house Fees</t>
  </si>
  <si>
    <t>Cess</t>
  </si>
  <si>
    <t>Market Stalls Rent</t>
  </si>
  <si>
    <t>Stock Sales</t>
  </si>
  <si>
    <t>Salary Recovery</t>
  </si>
  <si>
    <t>Housing</t>
  </si>
  <si>
    <t>Gender, Culture</t>
  </si>
  <si>
    <t>County Assembly</t>
  </si>
  <si>
    <t>Sub County Administration</t>
  </si>
  <si>
    <t>RECURRENT</t>
  </si>
  <si>
    <t>DEVELOPMENT</t>
  </si>
  <si>
    <t>Lands, Urban and Physical Planning</t>
  </si>
  <si>
    <t>PERSONNEL KSHS.</t>
  </si>
  <si>
    <t>BUNGOMA COUNTY</t>
  </si>
  <si>
    <t xml:space="preserve">Internet connections and networking </t>
  </si>
  <si>
    <t>TravelCosts(Airlines,Bus,Railway)</t>
  </si>
  <si>
    <t>Sundry Items (e.g. airport tax, taxis</t>
  </si>
  <si>
    <t xml:space="preserve">Travel Costs (airlines, bus, railway, </t>
  </si>
  <si>
    <t>2210404</t>
  </si>
  <si>
    <t>Sundry Items (e.g. airport tax, taxis, etc…)</t>
  </si>
  <si>
    <t>2210407</t>
  </si>
  <si>
    <t>State Visits Abroad</t>
  </si>
  <si>
    <t>Advertising,Publicity and Awareness Campain</t>
  </si>
  <si>
    <t>Hire of Training Facilities and Equipment</t>
  </si>
  <si>
    <t>General Office Supplies (Paper)</t>
  </si>
  <si>
    <t>Sanitary and cleaning materials</t>
  </si>
  <si>
    <t>Purchse of fire extinguishers</t>
  </si>
  <si>
    <t>Medical Insurance</t>
  </si>
  <si>
    <t>Purchase of Minibuses and Buses</t>
  </si>
  <si>
    <t xml:space="preserve">Maintanance of Residetial Houses </t>
  </si>
  <si>
    <t>SUB COUNTY ADMINISTRATION (DEVOLVED UNITS)</t>
  </si>
  <si>
    <t>TOTAL FOR RECURRENT</t>
  </si>
  <si>
    <t>TOTAL RECURRENT BUDGET</t>
  </si>
  <si>
    <t xml:space="preserve">Construction of Non-Residential buildings </t>
  </si>
  <si>
    <t>GOVERNOR'S OFFICE</t>
  </si>
  <si>
    <t>Printing, Advertising and Information Supplies and Services</t>
  </si>
  <si>
    <t xml:space="preserve">Accomodation     </t>
  </si>
  <si>
    <t>2210704</t>
  </si>
  <si>
    <t>2210702</t>
  </si>
  <si>
    <t>Remuneration of Instructors and Contract Based Training Services</t>
  </si>
  <si>
    <t>Refined Fuels &amp; Lubrication</t>
  </si>
  <si>
    <t>Management Fees</t>
  </si>
  <si>
    <t>4110405</t>
  </si>
  <si>
    <t>Car loans to Public Servants</t>
  </si>
  <si>
    <t>2211311</t>
  </si>
  <si>
    <t>Contracted Technical Services</t>
  </si>
  <si>
    <t>Committees Boards and Conferances</t>
  </si>
  <si>
    <t>2211327</t>
  </si>
  <si>
    <t>Payment of Duty</t>
  </si>
  <si>
    <t>BUNGOMA MUNICIPALITY</t>
  </si>
  <si>
    <t>RECURRENT EXPENDITURE</t>
  </si>
  <si>
    <t xml:space="preserve">Basic Salary- Permanent Employees </t>
  </si>
  <si>
    <t>Basic Salary Civil Services</t>
  </si>
  <si>
    <t>Gratuity and Honorarium</t>
  </si>
  <si>
    <t>Telephone,Telex, Facsmile and Internet</t>
  </si>
  <si>
    <t>Travel Costs (Airlines, Bus, Railway)</t>
  </si>
  <si>
    <t>Daily Subsistance Allowances and Accomodation</t>
  </si>
  <si>
    <t>Foreign Travel and Subsistence and Other Transportation Costs</t>
  </si>
  <si>
    <t>Foreign Travel Costs (airlines, bus, railway, etc.)</t>
  </si>
  <si>
    <t xml:space="preserve">Foreign Accommodation </t>
  </si>
  <si>
    <t>Sundry Items (e.g. airport tax, taxis)</t>
  </si>
  <si>
    <t>Subscription to Newspapers</t>
  </si>
  <si>
    <t>Tuition / Training fees</t>
  </si>
  <si>
    <t>Catering Services (receptions), Accomodation, Foods and Drinks</t>
  </si>
  <si>
    <t>Committees, Boards, Seminars and Conferences</t>
  </si>
  <si>
    <t>Workmans Compensation</t>
  </si>
  <si>
    <t>Purchase of Uniforms and Clothing for Staff</t>
  </si>
  <si>
    <t xml:space="preserve">Legal Dues/Fees, Arbitration and Compensation Payments </t>
  </si>
  <si>
    <t>Contracted Professional and Technical Services</t>
  </si>
  <si>
    <t>Maintenance of Buildings and Stations - Non-Residential</t>
  </si>
  <si>
    <t>Purchase of Vehicles and other Transport  Equipment</t>
  </si>
  <si>
    <t xml:space="preserve">Purchase of Motor Vehicles </t>
  </si>
  <si>
    <t>Purchase of Bicycles and Motorcycles</t>
  </si>
  <si>
    <t>Research, Feasibility Studies</t>
  </si>
  <si>
    <t>Pre-Feasibility, Feasibility and Appraisal Studies</t>
  </si>
  <si>
    <t>Supply for Credit</t>
  </si>
  <si>
    <t>Overhaul of Other Infrastructure and Civil Works</t>
  </si>
  <si>
    <t>TOTAL FOR DEVELOPMENT</t>
  </si>
  <si>
    <t>Gender, and Culture</t>
  </si>
  <si>
    <t>ESTIMATES FOR FY 2024/25</t>
  </si>
  <si>
    <t xml:space="preserve"> Basic Wages - Temporary Employees</t>
  </si>
  <si>
    <t>Casual labour- others</t>
  </si>
  <si>
    <t>Internet services</t>
  </si>
  <si>
    <t>Accomodation    allowances</t>
  </si>
  <si>
    <t xml:space="preserve">Daily Subsistance Allowances </t>
  </si>
  <si>
    <t>Field Allowance(KICOSCA/EALSCA</t>
  </si>
  <si>
    <t>Field operations</t>
  </si>
  <si>
    <t xml:space="preserve"> ForeignTravel and Subsistence, and Other Transportation Costs</t>
  </si>
  <si>
    <t xml:space="preserve"> ForeignTravel Costs (airlines, bus, railway, etc.)</t>
  </si>
  <si>
    <t xml:space="preserve"> Foreign Accommodation(embalu celebration)</t>
  </si>
  <si>
    <t>Foreign Daily Subsistence Allowance</t>
  </si>
  <si>
    <t>2210701</t>
  </si>
  <si>
    <t>Gender/Disability Mainstreaminig</t>
  </si>
  <si>
    <t>Catering Services (receptions), Accommodation, Gifts, Food and Drinks</t>
  </si>
  <si>
    <t>National Celebration</t>
  </si>
  <si>
    <t xml:space="preserve"> Insurance Costs</t>
  </si>
  <si>
    <t>Contracted  Professional and Technical  services</t>
  </si>
  <si>
    <t>supplier credit</t>
  </si>
  <si>
    <t>2211320</t>
  </si>
  <si>
    <t xml:space="preserve">Temporary Committees Expenses </t>
  </si>
  <si>
    <t>Purchase of motorcycles</t>
  </si>
  <si>
    <t>Monthly Pension - Civil Servants</t>
  </si>
  <si>
    <t>Purchase of Household and Institutional Furniture and Fittings</t>
  </si>
  <si>
    <t>Pre-feasibilty, Feasibility and Appraisal Studies</t>
  </si>
  <si>
    <t xml:space="preserve"> TOTAL RECURRENT H/Q</t>
  </si>
  <si>
    <t>Development</t>
  </si>
  <si>
    <t>other ifrastructure and civil works</t>
  </si>
  <si>
    <t>ESTIMATES FOR FY 2024/2025</t>
  </si>
  <si>
    <t>Payment of staff salaries</t>
  </si>
  <si>
    <t>Basic salaries-civil service</t>
  </si>
  <si>
    <t>Basic wages- Temporary Employees</t>
  </si>
  <si>
    <t>personal Allowance- paid as part of salary</t>
  </si>
  <si>
    <t>payment of allowance-paid as part of salary</t>
  </si>
  <si>
    <t xml:space="preserve">Utilities supplies and services </t>
  </si>
  <si>
    <t>Electricity bills</t>
  </si>
  <si>
    <t>water and sewerage</t>
  </si>
  <si>
    <t>Communication, supplies and services</t>
  </si>
  <si>
    <t>Telephone, Telex, Facsimile and mobile phone services</t>
  </si>
  <si>
    <t>Internet connections</t>
  </si>
  <si>
    <t>Courier and postal services</t>
  </si>
  <si>
    <t>Domestic Travel and subsistence, and other Transportation cost</t>
  </si>
  <si>
    <t>Travel costs (airlines,bus,railway, mileage allowance</t>
  </si>
  <si>
    <t>Accommodation allowance</t>
  </si>
  <si>
    <t xml:space="preserve">Daily subsistence allowance </t>
  </si>
  <si>
    <t>Field Allowance(Ward Games/KYSA GAMES)</t>
  </si>
  <si>
    <t>Foreign travel cost</t>
  </si>
  <si>
    <t>Foreign travel costs airlines, bus,railway, mileage allowance</t>
  </si>
  <si>
    <t>Daily subsistence allowance and accommodation</t>
  </si>
  <si>
    <t>Printing, advertising and information supplies and services</t>
  </si>
  <si>
    <t>Subscription to newspapers</t>
  </si>
  <si>
    <t>Publishing and printing services</t>
  </si>
  <si>
    <t>Advertising Awareness</t>
  </si>
  <si>
    <t>Training expenses</t>
  </si>
  <si>
    <t>Tuition/training fees</t>
  </si>
  <si>
    <t>Hospitality supplies and services</t>
  </si>
  <si>
    <t>catering services, receptions</t>
  </si>
  <si>
    <t>Specialized materials and supplies</t>
  </si>
  <si>
    <t>Education and library supplies</t>
  </si>
  <si>
    <t>Purchase of sports equipment</t>
  </si>
  <si>
    <t>Office and general supplies and services</t>
  </si>
  <si>
    <t>General office supplies</t>
  </si>
  <si>
    <t>Fuel and lubricants</t>
  </si>
  <si>
    <t>Refined fuels and lubricants</t>
  </si>
  <si>
    <t>other operating expenses</t>
  </si>
  <si>
    <t>Membership fees, dues and subscription to professional and trade bodies</t>
  </si>
  <si>
    <t>motor vehicle insurance</t>
  </si>
  <si>
    <t>Contracted professional services</t>
  </si>
  <si>
    <t>Temporary Committee Expenses</t>
  </si>
  <si>
    <t>Routine maintenance- vehicle and other transport equipment</t>
  </si>
  <si>
    <t>maintenance expenses- motor vehicle</t>
  </si>
  <si>
    <t>pre-feasibility and appraisal studies</t>
  </si>
  <si>
    <t>other infrastructure and civil works</t>
  </si>
  <si>
    <t>Devolution Support Proggramme</t>
  </si>
  <si>
    <t xml:space="preserve">GRAND TOTAL  CS </t>
  </si>
  <si>
    <t>Travel Costs(Airlines,Bus,Railwayc)</t>
  </si>
  <si>
    <t>COUNTY ATTORNEY</t>
  </si>
  <si>
    <t>Refurbishment -  Residetial Buildings</t>
  </si>
  <si>
    <t>Overhaul of other infrastructure and civil works</t>
  </si>
  <si>
    <t>ROADS AND PUBLIC WORKS</t>
  </si>
  <si>
    <t>Contracted Professional &amp; Technical Services</t>
  </si>
  <si>
    <t>3110202</t>
  </si>
  <si>
    <t>3110501</t>
  </si>
  <si>
    <t>Bridges and Drainage</t>
  </si>
  <si>
    <t>3110601</t>
  </si>
  <si>
    <t xml:space="preserve">Overhaul of Roads </t>
  </si>
  <si>
    <t>Ward based Projects</t>
  </si>
  <si>
    <t>3111116</t>
  </si>
  <si>
    <t>Hire of Plant machinery</t>
  </si>
  <si>
    <t>3130201</t>
  </si>
  <si>
    <t>Acquisition of Soil deposits</t>
  </si>
  <si>
    <t>County Public Service Board</t>
  </si>
  <si>
    <t>Economic Item</t>
  </si>
  <si>
    <t>2110302</t>
  </si>
  <si>
    <t>Honoraria/Gratuity</t>
  </si>
  <si>
    <t>courier and postal services</t>
  </si>
  <si>
    <t xml:space="preserve">Foreign Travel Costs (airlines, bus, railway, mileage allowances, etc.) </t>
  </si>
  <si>
    <t xml:space="preserve">Foreign Daily Subsistence Allowance </t>
  </si>
  <si>
    <t>Insurance Cost</t>
  </si>
  <si>
    <t>Insurance Costs -Other(budge</t>
  </si>
  <si>
    <t>2211309</t>
  </si>
  <si>
    <t>2211310</t>
  </si>
  <si>
    <t>Contracted Professional Services</t>
  </si>
  <si>
    <t>2410104</t>
  </si>
  <si>
    <t>Suppliers credits</t>
  </si>
  <si>
    <t>3110701</t>
  </si>
  <si>
    <t>Purchase of Motor Vehicles</t>
  </si>
  <si>
    <t>Purchase of Computers, Software, and Networks</t>
  </si>
  <si>
    <t>Transport Allowance</t>
  </si>
  <si>
    <t>Medical insurance</t>
  </si>
  <si>
    <t>DEPARTMENT OF AGRICULTURE, LIVESTOCK, FESHERIES, IRRIGATION AND COOPERATIVES</t>
  </si>
  <si>
    <t>AGRICULTURE AND IRRIGATION</t>
  </si>
  <si>
    <t>Agriculture, Livestock, fisheries and co-operative development</t>
  </si>
  <si>
    <t>Field Operation Allowance</t>
  </si>
  <si>
    <t xml:space="preserve"> Foreign Accommodation</t>
  </si>
  <si>
    <t>2210708</t>
  </si>
  <si>
    <t>Trainer Allowance</t>
  </si>
  <si>
    <t>Veterinarian Supplies and Materials</t>
  </si>
  <si>
    <t>Agricultural materials, supplies and small equipment</t>
  </si>
  <si>
    <t>Laboratory materials, supplies and small equipment</t>
  </si>
  <si>
    <t>Supplies for Production</t>
  </si>
  <si>
    <t>Contracted  Guards and cleaning  services</t>
  </si>
  <si>
    <t>Maintenance of Plant, Machinery and Equipment (Weather Stations)</t>
  </si>
  <si>
    <t>Maintenance of Computers, Software, and Networks(Inclusive of AWS)</t>
  </si>
  <si>
    <t>Suppliers Credit</t>
  </si>
  <si>
    <t>Mabanga ATC</t>
  </si>
  <si>
    <t>Mabanga AMC</t>
  </si>
  <si>
    <t>TOTAL A.I.A</t>
  </si>
  <si>
    <t>Purchase of Certified Crop Seed</t>
  </si>
  <si>
    <t>Other Infrastructure and Civil Works</t>
  </si>
  <si>
    <t>Supplier Credits</t>
  </si>
  <si>
    <t>Purchase of Agricultural Machinery and Equipment</t>
  </si>
  <si>
    <t>Purchase of Fertilizer</t>
  </si>
  <si>
    <t>TOTALS FOR H/Qs</t>
  </si>
  <si>
    <t>SUB COUNTIES</t>
  </si>
  <si>
    <t>Field Operation Allowance- Subcounty Administrative Costs for Agriculture and Irrigation</t>
  </si>
  <si>
    <t>TOTALS FOR SUB COUNTIES</t>
  </si>
  <si>
    <t>MABANGA ATC AND AMC</t>
  </si>
  <si>
    <t>General Office Supplies</t>
  </si>
  <si>
    <t>Maintenance of Plant, Machinery and Equipment (including lifts,Humane killer,)</t>
  </si>
  <si>
    <t>3110706</t>
  </si>
  <si>
    <t>TOTAL MABANGA ATC AND AMC</t>
  </si>
  <si>
    <t>RECURRENT TOTALS</t>
  </si>
  <si>
    <t>DEVELOPMENT TOTALS</t>
  </si>
  <si>
    <t>COOPERATIVES DEVELOPMENT</t>
  </si>
  <si>
    <t>Transfer Allowance</t>
  </si>
  <si>
    <t>Responsibility Allowance</t>
  </si>
  <si>
    <t>Extraneous  Allowance</t>
  </si>
  <si>
    <t>Domestic Servant  Allowance</t>
  </si>
  <si>
    <t>Risk Allowance</t>
  </si>
  <si>
    <t>Administrative Allowance</t>
  </si>
  <si>
    <t>Maintenance of Plant, Machinery and Equipment (Weather Station)</t>
  </si>
  <si>
    <t>Cooperative Audit Fees</t>
  </si>
  <si>
    <t>TOTALS FOR  SUB COUNTIES</t>
  </si>
  <si>
    <t>LIVESTOCK AND FISHERIES</t>
  </si>
  <si>
    <t xml:space="preserve"> TOTAL RECURRENT LIVETOCK H/Q</t>
  </si>
  <si>
    <t>Sale of fish/fingerling</t>
  </si>
  <si>
    <t>Livestock fees</t>
  </si>
  <si>
    <t>SUBCOUNTIES</t>
  </si>
  <si>
    <t>Field Operation Allowance - Subcounties Administrative Costs for Livestock, Veterinary and Fisheries ( 9 subcounties and 45 Wards)</t>
  </si>
  <si>
    <t>TOTALS FOR ALFIC- SUB COUNTY</t>
  </si>
  <si>
    <t>CHWELE FISH FARM</t>
  </si>
  <si>
    <t>TOTALS FOR CHWELE FISH FARM</t>
  </si>
  <si>
    <t>LIVESTOCK RECURRENT TOTALS</t>
  </si>
  <si>
    <t>LIVESTOCK DEVELOPMENT TOTALS</t>
  </si>
  <si>
    <t>LIVESTOCK GRAND TOTALS</t>
  </si>
  <si>
    <t>ECONOMIC ITEM</t>
  </si>
  <si>
    <t>Basic Salaries - County Assembly Service</t>
  </si>
  <si>
    <t>Basic Wages - Temporary Employees</t>
  </si>
  <si>
    <t>Acting Allowance</t>
  </si>
  <si>
    <t>Overtime - Civil Service</t>
  </si>
  <si>
    <t>Top-up Allowance</t>
  </si>
  <si>
    <t>Entertainment Allowance</t>
  </si>
  <si>
    <t>National Assembly Attendance Allowance</t>
  </si>
  <si>
    <t>Personal Allowances paid as Reimbursements</t>
  </si>
  <si>
    <t>Telephone Allowance</t>
  </si>
  <si>
    <t>2120101 Employer Contributions to National Social Security Fund</t>
  </si>
  <si>
    <t>2120103 Employer Contribution to Staff Pensions Scheme</t>
  </si>
  <si>
    <t>GOODS AND SERVICES</t>
  </si>
  <si>
    <t>Gas expenses</t>
  </si>
  <si>
    <t>Telephone, Telex, Facsimile and Mobile Phone Services</t>
  </si>
  <si>
    <t>Communication, Supplies - Other</t>
  </si>
  <si>
    <t>Travel Costs (airlines, bus, railway, mileage allowances, etc.)</t>
  </si>
  <si>
    <t>Daily Subsistence Allowance</t>
  </si>
  <si>
    <t>Domestic Travel and Subs. - Others</t>
  </si>
  <si>
    <t>Foreign Travel and Subs.- Others</t>
  </si>
  <si>
    <t>Training Expenses</t>
  </si>
  <si>
    <t>Production and Printing of Training Materials</t>
  </si>
  <si>
    <t>Research Allowance</t>
  </si>
  <si>
    <t>Board Allowance</t>
  </si>
  <si>
    <t>Hospitality Supplies - other (</t>
  </si>
  <si>
    <t>Buildings Insurance</t>
  </si>
  <si>
    <t>Supplies for Broadcasting and Information Services</t>
  </si>
  <si>
    <t>Purchase/Production of Photographic and Audio-Visual Materials</t>
  </si>
  <si>
    <t>General Office Supplies (papers, pencils, forms, small office equipment</t>
  </si>
  <si>
    <t>Legal Dues/fees, Arbitration and Compensation Payments</t>
  </si>
  <si>
    <t>Constituency Office Expenses</t>
  </si>
  <si>
    <t>Routine Maintenance - Vehicles</t>
  </si>
  <si>
    <t>Maintenance of Communications Equipment</t>
  </si>
  <si>
    <t>Gratuity - Civil Servants</t>
  </si>
  <si>
    <t>Gratuity - Members of Parliament</t>
  </si>
  <si>
    <t>Purchase of Vehicles and Other Transport Equipment</t>
  </si>
  <si>
    <t>Purchase of Photocopiers</t>
  </si>
  <si>
    <t>Purchase of other Office Equipment</t>
  </si>
  <si>
    <t>Research, Feasibility Studies, Project Preparation and Design, Project S</t>
  </si>
  <si>
    <t>Engineering and Design Plans</t>
  </si>
  <si>
    <t>Car loans to civil servants</t>
  </si>
  <si>
    <t>Construction and Civil Works</t>
  </si>
  <si>
    <t>Overhaul and Refurbishment of Construction and Civil Works</t>
  </si>
  <si>
    <t xml:space="preserve"> Purchase of ICT networking and Communications Equipment</t>
  </si>
  <si>
    <t>GRAND TOTAL FOR DEVELOPMENT</t>
  </si>
  <si>
    <t>TOTAL COUNTY ASSEMBLY BUDGET</t>
  </si>
  <si>
    <t>Accomodation allowances</t>
  </si>
  <si>
    <t>Trade</t>
  </si>
  <si>
    <t xml:space="preserve"> Infrastructure and civil works - Governor/ DG residence </t>
  </si>
  <si>
    <t>BUDGET PROJECTION 2024/25</t>
  </si>
  <si>
    <t>BUDGET PROJECTION 2025/26</t>
  </si>
  <si>
    <t>VOTE 4918: County Department of Lands, Urban and Pyhysical Planning</t>
  </si>
  <si>
    <t>LANDS, URBAN AND PHYSICAL PLANNING</t>
  </si>
  <si>
    <t>Land registration</t>
  </si>
  <si>
    <t>Temporary expenses</t>
  </si>
  <si>
    <t>Purchase of survey equipment and survey services</t>
  </si>
  <si>
    <t>Climate change grant</t>
  </si>
  <si>
    <t>BUDGET PROJECTION 2026/27</t>
  </si>
  <si>
    <t>iiiRetention</t>
  </si>
  <si>
    <t>PROJECTIONS FOR FY 2025/2026</t>
  </si>
  <si>
    <t>Other Infrustructure and Civil Works</t>
  </si>
  <si>
    <t>Accomodation allowance</t>
  </si>
  <si>
    <t>Field Allowance National holidays</t>
  </si>
  <si>
    <t>Field Operational Allowance - civic education &amp;public participation</t>
  </si>
  <si>
    <t>research allowance</t>
  </si>
  <si>
    <t>Training fees</t>
  </si>
  <si>
    <t>Catering services,receptions</t>
  </si>
  <si>
    <t>Committes Boards and Conferences</t>
  </si>
  <si>
    <t>Temporal imprests</t>
  </si>
  <si>
    <t>Supplies credit</t>
  </si>
  <si>
    <t>Maintenance of H/Q building</t>
  </si>
  <si>
    <t>pre feasibility studies</t>
  </si>
  <si>
    <t>Purchase of Fire fighting Equipment ie extinguishers,lightening arrestor etc</t>
  </si>
  <si>
    <t>Supplier Credit</t>
  </si>
  <si>
    <t>COUNTY SECRETARY</t>
  </si>
  <si>
    <t>General Office Supplies (ie stationaries</t>
  </si>
  <si>
    <t>temporal imprests</t>
  </si>
  <si>
    <t>ESTIMATES FOR FY 2025/2026</t>
  </si>
  <si>
    <t>Employer contribution to staff pension scheme</t>
  </si>
  <si>
    <t>maintenance of ward based projects</t>
  </si>
  <si>
    <t>Industrialization</t>
  </si>
  <si>
    <t>ESTIMATES  2025/26</t>
  </si>
  <si>
    <t>Commuter Allowance</t>
  </si>
  <si>
    <t>Health risk allowance</t>
  </si>
  <si>
    <t>Special House Allowance</t>
  </si>
  <si>
    <t>Trade loans</t>
  </si>
  <si>
    <t>Suppliers Credits-Ward Based</t>
  </si>
  <si>
    <t xml:space="preserve"> Energy </t>
  </si>
  <si>
    <t>Basic Salary</t>
  </si>
  <si>
    <t>Sub-Total</t>
  </si>
  <si>
    <t>Car loans to Members of Parliament</t>
  </si>
  <si>
    <t>House loans to civil servants</t>
  </si>
  <si>
    <t>Engeneering and Design plans</t>
  </si>
  <si>
    <t>Overhaul of roads</t>
  </si>
  <si>
    <t>overhaul of other infrastructure and civil works</t>
  </si>
  <si>
    <t>othher infrastructure and civil works</t>
  </si>
  <si>
    <t>Purchase of specialzed plant</t>
  </si>
  <si>
    <t>Ward based</t>
  </si>
  <si>
    <t>Bridges</t>
  </si>
  <si>
    <t>Construction of roads -Others</t>
  </si>
  <si>
    <t>Temporal expenses</t>
  </si>
  <si>
    <t>Maintenance of Computers, Software, and Networks ie tonners</t>
  </si>
  <si>
    <t>Purchase of Computers, Printers,cameras and other IT Equipment</t>
  </si>
  <si>
    <t>PROJECTIONS FOR FY 2025/26</t>
  </si>
  <si>
    <t>Employer Contributions to Compulsory National Schemes</t>
  </si>
  <si>
    <t>Water and Sewerage Charges</t>
  </si>
  <si>
    <t>Fungicides, Insectcides &amp; Sprays</t>
  </si>
  <si>
    <t>Maintenance of Computers, Software and Networks</t>
  </si>
  <si>
    <t>HOUSING</t>
  </si>
  <si>
    <t>Field training Attachments</t>
  </si>
  <si>
    <t>Supplies and Accessories fo Computers and Printers</t>
  </si>
  <si>
    <t>Maintanance of Office Furniture</t>
  </si>
  <si>
    <t>Maintanance of Residential Hoses</t>
  </si>
  <si>
    <t xml:space="preserve"> Other Infrastructure and civil works </t>
  </si>
  <si>
    <t>2640503</t>
  </si>
  <si>
    <t>Other Capital Grants and Transfers</t>
  </si>
  <si>
    <t>ESTIMATES FOR FY 2025/26</t>
  </si>
  <si>
    <t>Loans and other instruments</t>
  </si>
  <si>
    <t>GENDER AND CULTURE</t>
  </si>
  <si>
    <t>FUNDS</t>
  </si>
  <si>
    <t>ITEMIZED BUDGET YOUTHS AND SPORTS FY 2023/24</t>
  </si>
  <si>
    <t>Committees Boards and conference</t>
  </si>
  <si>
    <t>Total recurrent gender and culture</t>
  </si>
  <si>
    <t>YOUTH AND SPORTS</t>
  </si>
  <si>
    <t>Boards and committees (operations costs)</t>
  </si>
  <si>
    <t>Total Development youths</t>
  </si>
  <si>
    <t>ESTIMATES FOR 2025/2026</t>
  </si>
  <si>
    <t>purchases of  automobiles</t>
  </si>
  <si>
    <t>Purchase of bicycle and Motor Cycles</t>
  </si>
  <si>
    <t>Supplier Credit-Ward Based</t>
  </si>
  <si>
    <t>Purchase of motor vehicle</t>
  </si>
  <si>
    <t>Supplier Credit-</t>
  </si>
  <si>
    <t>TOTAL DEVELOPMENT BUMULA</t>
  </si>
  <si>
    <t>TOTAL BUMULA BUDGET</t>
  </si>
  <si>
    <t>VARIANCE</t>
  </si>
  <si>
    <t>Agricultural materials, supplies and small equipment (Mabanga ATC)</t>
  </si>
  <si>
    <t>Crop insurance</t>
  </si>
  <si>
    <t>Field Allowance (Project Managemnt)</t>
  </si>
  <si>
    <t>Field Allowance( Project Managemnt)</t>
  </si>
  <si>
    <t>Recurrent hospital budgets</t>
  </si>
  <si>
    <t>Development hospital budgets</t>
  </si>
  <si>
    <t>Trade loan</t>
  </si>
  <si>
    <t>Women Fund</t>
  </si>
  <si>
    <t>Disability</t>
  </si>
  <si>
    <t>Youth Fund</t>
  </si>
  <si>
    <t xml:space="preserve"> FUNDS</t>
  </si>
  <si>
    <t>Hire of Machinery</t>
  </si>
  <si>
    <t>Consent to charge</t>
  </si>
  <si>
    <t>Survey fees</t>
  </si>
  <si>
    <t>Payrol product</t>
  </si>
  <si>
    <t>Fisheries</t>
  </si>
  <si>
    <t>Weights and Measures</t>
  </si>
  <si>
    <t>Imprest recovery</t>
  </si>
  <si>
    <t>Physical Planning fees</t>
  </si>
  <si>
    <t>Change of User fees</t>
  </si>
  <si>
    <t xml:space="preserve"> Salary civil services</t>
  </si>
  <si>
    <t>Loans and other instruments DISABILITY</t>
  </si>
  <si>
    <t xml:space="preserve">Loans and other instruments - WOMEN </t>
  </si>
  <si>
    <t xml:space="preserve">Other infrasructure and civil works </t>
  </si>
  <si>
    <t xml:space="preserve">Other infrastructure and civil works  ward based </t>
  </si>
  <si>
    <t xml:space="preserve">Basic  Salary </t>
  </si>
  <si>
    <t>project supervision</t>
  </si>
  <si>
    <t>REREC grant and co funding</t>
  </si>
  <si>
    <t>DANIDA CO FUNDING</t>
  </si>
  <si>
    <t>special programmes</t>
  </si>
  <si>
    <t>DEPUTY GOVERNORS OFFICE</t>
  </si>
  <si>
    <t>\</t>
  </si>
  <si>
    <t>PUBLIC HEALTH</t>
  </si>
  <si>
    <t xml:space="preserve">Contracted Professional </t>
  </si>
  <si>
    <r>
      <t xml:space="preserve">Accomodation   </t>
    </r>
    <r>
      <rPr>
        <i/>
        <sz val="12"/>
        <rFont val="Times New Roman"/>
        <family val="1"/>
      </rPr>
      <t xml:space="preserve">  </t>
    </r>
  </si>
  <si>
    <t>ITEMIZED BUDGET FOR FY 2024/25</t>
  </si>
  <si>
    <t>ESTIMATES FOR 2026/2027</t>
  </si>
  <si>
    <t>Other Capital grants and transfer(NAVCDP)</t>
  </si>
  <si>
    <t>Supplies for Credit</t>
  </si>
  <si>
    <t>Kenya Livestock Commercialization Project (KeLCoP)</t>
  </si>
  <si>
    <t xml:space="preserve"> MINISTRY OF TOURISM,ENVIRONMENT, WATER, NATURAL RESOURCES AND CLIMATE CHANGE</t>
  </si>
  <si>
    <t>ESTIMATES FOR FY 2026/2027</t>
  </si>
  <si>
    <t>Other Transfers</t>
  </si>
  <si>
    <t>Other current transfers, Grants(CCIS) Institutional support</t>
  </si>
  <si>
    <t>Other current transfers-other (CCCU budget)</t>
  </si>
  <si>
    <t>Other capital Grants and Transfers(climate change co funding)</t>
  </si>
  <si>
    <t>Other capital Grants and Transfers(climate change grant)</t>
  </si>
  <si>
    <t>Other capital Grants(KOICA)</t>
  </si>
  <si>
    <t>TITLE</t>
  </si>
  <si>
    <t>_x000D_
Estimates 2024/2025</t>
  </si>
  <si>
    <t>Projected Estimates</t>
  </si>
  <si>
    <t>2025/2026</t>
  </si>
  <si>
    <t>2026/2027</t>
  </si>
  <si>
    <t>2110100 Basic Salaries - Permanent Employees</t>
  </si>
  <si>
    <t>2110101 Basic Salaries - Civil Service</t>
  </si>
  <si>
    <t>Promotion</t>
  </si>
  <si>
    <t>Recruitment-ECDE Teachers (200)</t>
  </si>
  <si>
    <t>Recruitment-VTC Instructors (90)</t>
  </si>
  <si>
    <t>Gratuity</t>
  </si>
  <si>
    <t>2110300 Personal Allowance - Paid as Part of Salary</t>
  </si>
  <si>
    <t>2110320 Leave Allowance</t>
  </si>
  <si>
    <t>2120100 Employer Contributions to Compulsory National Social Security Schemes</t>
  </si>
  <si>
    <t>2210100 Utilities Supplies and Services</t>
  </si>
  <si>
    <t>2210101 Electricity</t>
  </si>
  <si>
    <t>2210102 Water and sewerage charges</t>
  </si>
  <si>
    <t>2210200 Communication, Supplies and Services</t>
  </si>
  <si>
    <t>2210201 Telephone, Telex, Facsimile and Mobile Phone Services</t>
  </si>
  <si>
    <t>2210300 Domestic Travel and Subsistence, and Other Transportation Costs</t>
  </si>
  <si>
    <t>2210301 Travel Costs (airlines, bus, railway, mileage allowances, etc.)</t>
  </si>
  <si>
    <t>2210302 Accommodation - Domestic Travel</t>
  </si>
  <si>
    <t>2210303 Daily Subsistence Allowance</t>
  </si>
  <si>
    <t>2210309 Field Allowance</t>
  </si>
  <si>
    <t>2210400 Foreign Travel and Subsistence, and other transportation costs</t>
  </si>
  <si>
    <t>2210401 Travel Costs (airlines, bus, railway, etc.)</t>
  </si>
  <si>
    <t>2210402 Accommodation</t>
  </si>
  <si>
    <t>2210500 Printing , Advertising and Information Supplies and Services</t>
  </si>
  <si>
    <t>2210502 Publishing and Printing Services</t>
  </si>
  <si>
    <t>2210504 Advertising, Awareness and Publicity Campaigns</t>
  </si>
  <si>
    <t>2210700 Training</t>
  </si>
  <si>
    <t>2210710 Accommodation allowance</t>
  </si>
  <si>
    <t>2210711 Tuition fee</t>
  </si>
  <si>
    <t>2210800 Hospitality Supplies and Services</t>
  </si>
  <si>
    <t>2210801 Catering Services (receptions), Accommodation, Gifts, Food and Drinks</t>
  </si>
  <si>
    <t>2210802 Boards, Committees, Conferences and Seminars</t>
  </si>
  <si>
    <t>2210900 Insurance Costs</t>
  </si>
  <si>
    <t>2210999 Insurance Costs - Other (Budge</t>
  </si>
  <si>
    <t>2211000 Specialised Materials and Supplies</t>
  </si>
  <si>
    <t>2211009 Education and Library Supplies</t>
  </si>
  <si>
    <t>2211100 Office and General Supplies and Services</t>
  </si>
  <si>
    <t>2211101 General Office Supplies (papers, pencils, forms, small office equipment</t>
  </si>
  <si>
    <t>2211103 Sanitary and Cleaning Materials, Supplies and Services</t>
  </si>
  <si>
    <t>2211200 Fuel Oil and Lubricants</t>
  </si>
  <si>
    <t>2211201 Refined Fuels and Lubricants for Transport</t>
  </si>
  <si>
    <t>2211300 Other Operating Expenses</t>
  </si>
  <si>
    <t>2211306 Membership Fees, Dues and Subscriptions to Professional and Trade Bodies</t>
  </si>
  <si>
    <t>2220100 Routine Maintenance - Vehicles and Other Transport Equipment</t>
  </si>
  <si>
    <t>2220101 Maintenance Expenses - Motor Vehicles</t>
  </si>
  <si>
    <t>2410100 Supply credit</t>
  </si>
  <si>
    <t>2410104 Supply credit</t>
  </si>
  <si>
    <t>3111000 Purchase of Office Furniture and General Equipment</t>
  </si>
  <si>
    <t>3111001 Purchase of Office Furniture and Fittings</t>
  </si>
  <si>
    <t>3111002 Purchase of Computers, Printers and other IT Equipment</t>
  </si>
  <si>
    <t>2640100 Scholarships and other Educational Benefits</t>
  </si>
  <si>
    <t>2640101 Scholarships and other Educational Benefits - Secondary Education</t>
  </si>
  <si>
    <t>2640101 Feeding programme</t>
  </si>
  <si>
    <t>3110700 Purchase of Motor vihicles</t>
  </si>
  <si>
    <t>3110701 Purchase of Utility vehicle</t>
  </si>
  <si>
    <t>Gross Expenditure..................... KShs.</t>
  </si>
  <si>
    <t>2410104 Supplier credit</t>
  </si>
  <si>
    <t>3110500 Construction and Civil Works</t>
  </si>
  <si>
    <t>3110504 Other Infrastructure and Civil Works</t>
  </si>
  <si>
    <t>2640503 Supply of Learning materials</t>
  </si>
  <si>
    <t>2640503 Supply of learning materials- Digital Literacy</t>
  </si>
  <si>
    <t>3110505 Other Infrastructure and Civil Works- Equiping of ECDE</t>
  </si>
  <si>
    <t>3110599 Other Infrastructure and Civil Works-Refurbishments</t>
  </si>
  <si>
    <t xml:space="preserve">  Gross Expenditure................... KShs.</t>
  </si>
  <si>
    <t xml:space="preserve">  Gross Development Expenditure................... KShs.</t>
  </si>
  <si>
    <t>2210310 Field Operational Allowance</t>
  </si>
  <si>
    <t>2210503 Subscriptions to Newspapers, Magazines and Periodicals</t>
  </si>
  <si>
    <t xml:space="preserve">2210700 Training </t>
  </si>
  <si>
    <t>2210711 Tuition fees</t>
  </si>
  <si>
    <t>2211016 Purchase of Uniforms and Clothing - Staff</t>
  </si>
  <si>
    <t>2220200 Routine Maintenance - Other Assets</t>
  </si>
  <si>
    <t>2220202 Maintenance of Office Furniture and Equipment</t>
  </si>
  <si>
    <t>2220205 Maintenance of Buildings and Stations -- Non-Residential</t>
  </si>
  <si>
    <t>2220210 Maintenance of Computers, Software, and Networks</t>
  </si>
  <si>
    <t>2640500 Other Capital Grants and Transfers</t>
  </si>
  <si>
    <t>2640503 Other Capital Grants and Transfers</t>
  </si>
  <si>
    <t>3110505 Refurbishment and rennovations</t>
  </si>
  <si>
    <t>3110599 equippng of VTC</t>
  </si>
  <si>
    <t>Gross Development Expenditure................... KShs.</t>
  </si>
  <si>
    <t>Grand Total Expenditure</t>
  </si>
  <si>
    <t>ITEMISED BUDGET 2024/2025</t>
  </si>
  <si>
    <t>Project supervision</t>
  </si>
  <si>
    <t>BUNGOMA COUNTY REFERRALL HOSPITAL</t>
  </si>
  <si>
    <t>RECURRENT ESTIMATES</t>
  </si>
  <si>
    <t>TOTAL RECURENT  BUDGET ESTIMATES FOR BUNGOMA COUNTY REFERRAL HOSPITAL</t>
  </si>
  <si>
    <t>DEVELOPMENT ESTIMATES</t>
  </si>
  <si>
    <t>TOTAL DEVELOPMENT BUDGET ESTIMATES FOR BUNGOMA COUNTY REFERRAL HOSPITAL</t>
  </si>
  <si>
    <t>TOTAL RECURRENT AND DEVELOPMENT ESTIMATES FOR BUNGOMA COUNTY REFERRAL HOSPITAL</t>
  </si>
  <si>
    <t>Medical  insurance</t>
  </si>
  <si>
    <t>TOTAL RECURENT  BUDGET ESTIMATES FOR WEBUYE COUNTY HOSPITAL</t>
  </si>
  <si>
    <t>DEVELOPMENT BUDGET ESTIMATES</t>
  </si>
  <si>
    <t>TOTAL DEVELOPMENT BUDGET ESTIMATES</t>
  </si>
  <si>
    <t>TOTAL RECURRENT AND DEVELOPMENT ESTIMATES FOR BUDGET WEBUYE COUNTY HOSPITAL</t>
  </si>
  <si>
    <t>TOTAL DEVELOPMENT BUDGET ESTIMATES FOR KIMILILI SUBCOUNTY HOSPITAL</t>
  </si>
  <si>
    <t xml:space="preserve">TOTAL RECURRENT AND DEVELOPMENT ESTIMATES FOR KIMILILI SUBCOUNTY HOSPITAL </t>
  </si>
  <si>
    <t>RECURRENT  BUDGET ESTIMATES</t>
  </si>
  <si>
    <t>TOTAL RECURRENT  BUDGET ESTIMATES MT ELGON SUB COUNTY HOSPITAL</t>
  </si>
  <si>
    <t>TOTAL DEVELOPMENT BUDGET ESTIMATES FOR    MT ELGON  SUBCOUNTY HOSPITAL</t>
  </si>
  <si>
    <t>TOTAL RECURRENT AND  DEVELOPMENT BUDGET ESTIMATES FOR    MT ELGON SUBCOUNTY HOSPITAL</t>
  </si>
  <si>
    <t>NAITIRI  SUBCOUNTY HOSPITAL</t>
  </si>
  <si>
    <t>RECURRENT BUDGET ESTIMATES</t>
  </si>
  <si>
    <t>TOTAL RECURRENT BUDGET ESTIMATES FOR NAITIRI SUBCOUNTY HOSPITAL</t>
  </si>
  <si>
    <t>TOTAL DEVELOPMENT BUDGET ESTIMATES FOR NAITIRI SUBCOUNTY HOSPITAL</t>
  </si>
  <si>
    <t>TOTAL RECURRENT AND DEVELOPMENT FOR NAITIRI  SUBCOUNTY HOSPITAL</t>
  </si>
  <si>
    <t>TOTAL RECURRENT  BUDGET ESTIMATES FOR CHWELE SUB COUNTY HOSPITAL</t>
  </si>
  <si>
    <t>TOTAL DEVELOPMENT BUDGET ESTIMATES FOR    CHWELE  SUBCOUNTY HOSPITAL</t>
  </si>
  <si>
    <t>TOTAL RECURRENT AND  DEVELOPMENT BUDGET ESTIMATES FOR    CHWELESUBCOUNTY HOSPITAL</t>
  </si>
  <si>
    <t>Purchase of Medical and Dental Equipment</t>
  </si>
  <si>
    <t>TOTAL RECURRENT  BUDGET ESTIMATES FOR SIRISIA SUB COUNTY HOSPITAL</t>
  </si>
  <si>
    <t>TOTAL DEVELOPMENT ESTIMATES FOR SIRISIA SUCOUNTY HOSPITAL</t>
  </si>
  <si>
    <t>TOTAL RECURRENT AND DEVELOPMENT  BUDGET ESTIMATES FOR SIRISIA SUB COUNTY HOSPITAL</t>
  </si>
  <si>
    <t>TOTAL RECURRENT  BUDGET ESTIMATES CHEPTAIS SUB COUNTY HOSPITAL</t>
  </si>
  <si>
    <t>TOTAL DEVELOPMENT BUDGET ESTIMATES FOR    CHEPTAIS  SUBCOUNTY HOSPITAL</t>
  </si>
  <si>
    <t>TOTAL RECURRENT AND  DEVELOPMENT BUDGET ESTIMATES FOR    CHEPTAIS SUBCOUNTY HOSPITAL</t>
  </si>
  <si>
    <t>BOKOLI SUBCOUNTY HOSPITAL</t>
  </si>
  <si>
    <t>TOTAL BOKOLI SUB HOSPITAL</t>
  </si>
  <si>
    <t>SINOKO SUB COUNTY HOSPITAL</t>
  </si>
  <si>
    <t>TOTAL RECURRENT  BUDGET ESTIMATES FOR SINOKO SUB COUNTY HOSPITAL</t>
  </si>
  <si>
    <t>TOTAL DEVELOPMENT BUDGET ESTIMATES FOR    SINOKO SUBCOUNTY HOSPITAL</t>
  </si>
  <si>
    <t>TOTAL RECURRENT AND  DEVELOPMENT BUDGET ESTIMATES FOR    SINOKO SUBCOUNTY HOSPITAL</t>
  </si>
  <si>
    <t>TOTAL AIA FOR FACILITIES</t>
  </si>
  <si>
    <t>PRIMARY HEALTH CARE</t>
  </si>
  <si>
    <t>TOTAL RECURRENT  BUDGET ESTIMATES FOR PRIMARY HEALTH CARE</t>
  </si>
  <si>
    <t>TOTAL DEVELOPMENT BUDGET ESTIMATES FOR    PRIMARY HEALTH CARE</t>
  </si>
  <si>
    <t>TOTAL RECURRENT AND  DEVELOPMENT BUDGET ESTIMATES FOR   PRIMARY HEALTH CARE</t>
  </si>
  <si>
    <t>ESTIMATES  2026/27</t>
  </si>
  <si>
    <t>r</t>
  </si>
  <si>
    <t>cc</t>
  </si>
  <si>
    <t>Supplier's credit</t>
  </si>
  <si>
    <t>q</t>
  </si>
  <si>
    <t xml:space="preserve">Promotion </t>
  </si>
  <si>
    <t>SUMMARY OF ITEMISED EXPENDITURE 2024/2025</t>
  </si>
  <si>
    <t>PROJECTIONS FOR FY 2026/27</t>
  </si>
  <si>
    <t>BUNGOMA MUNICIPALITY ITEMIZED BUDGET FOR 2024/25 FY</t>
  </si>
  <si>
    <t>Recruitment of Employees</t>
  </si>
  <si>
    <t>Employer Contributions to Housing Levy Fund</t>
  </si>
  <si>
    <t xml:space="preserve">Other Capital Institutional Grants </t>
  </si>
  <si>
    <t>Urban Institutional Grant (UIG) - KUSP</t>
  </si>
  <si>
    <t>Research, Feasiblity Studies</t>
  </si>
  <si>
    <t>Infrastructure and Civil Works</t>
  </si>
  <si>
    <t>Acquistion of Land</t>
  </si>
  <si>
    <t>4918000501 KIMILILI MUNICIPALITY</t>
  </si>
  <si>
    <t>CODE NO</t>
  </si>
  <si>
    <t>CODE ITEM</t>
  </si>
  <si>
    <t>_x000D_
Estimates 2023/2024</t>
  </si>
  <si>
    <t xml:space="preserve">2110101 </t>
  </si>
  <si>
    <t xml:space="preserve">2210100 </t>
  </si>
  <si>
    <t xml:space="preserve">2210101 </t>
  </si>
  <si>
    <t xml:space="preserve">2210102 </t>
  </si>
  <si>
    <t xml:space="preserve">2210200 </t>
  </si>
  <si>
    <t xml:space="preserve">2210201 </t>
  </si>
  <si>
    <t xml:space="preserve">2210301 </t>
  </si>
  <si>
    <t xml:space="preserve">2210504 </t>
  </si>
  <si>
    <t xml:space="preserve">2210710 </t>
  </si>
  <si>
    <t xml:space="preserve">2210800 </t>
  </si>
  <si>
    <t xml:space="preserve">2210802 </t>
  </si>
  <si>
    <t xml:space="preserve">2210900 </t>
  </si>
  <si>
    <t xml:space="preserve">2210904 </t>
  </si>
  <si>
    <t xml:space="preserve">2211000 </t>
  </si>
  <si>
    <t>Purchase of Uniform and Clothing-staff</t>
  </si>
  <si>
    <t xml:space="preserve">2211100 </t>
  </si>
  <si>
    <t xml:space="preserve">2211103 </t>
  </si>
  <si>
    <t xml:space="preserve">2211200 </t>
  </si>
  <si>
    <t xml:space="preserve">2211201 </t>
  </si>
  <si>
    <t xml:space="preserve">2211300 </t>
  </si>
  <si>
    <t xml:space="preserve">2211306 </t>
  </si>
  <si>
    <t>Supplier of credit</t>
  </si>
  <si>
    <t xml:space="preserve">2220101 </t>
  </si>
  <si>
    <t xml:space="preserve">2220200 </t>
  </si>
  <si>
    <t xml:space="preserve">2220202 </t>
  </si>
  <si>
    <t xml:space="preserve">2220205 </t>
  </si>
  <si>
    <t xml:space="preserve">2220210 </t>
  </si>
  <si>
    <t xml:space="preserve">2640500 </t>
  </si>
  <si>
    <t xml:space="preserve"> Other Capital Grants and Transfers</t>
  </si>
  <si>
    <t xml:space="preserve">2640503 </t>
  </si>
  <si>
    <t xml:space="preserve">3110700 </t>
  </si>
  <si>
    <t xml:space="preserve">3110701 </t>
  </si>
  <si>
    <t xml:space="preserve">3111000 </t>
  </si>
  <si>
    <t>Purchase of office furniture and General Equipment</t>
  </si>
  <si>
    <t>Purchase of computers,Printers and IT Equipment</t>
  </si>
  <si>
    <t xml:space="preserve">3111400 </t>
  </si>
  <si>
    <t xml:space="preserve"> Research, Feasibility Studies, Project Preparation and Design, Project S</t>
  </si>
  <si>
    <t>3111401</t>
  </si>
  <si>
    <t xml:space="preserve">3111403 </t>
  </si>
  <si>
    <t xml:space="preserve"> Research</t>
  </si>
  <si>
    <t xml:space="preserve">2210300 </t>
  </si>
  <si>
    <t xml:space="preserve">2210309 </t>
  </si>
  <si>
    <t>2640500</t>
  </si>
  <si>
    <t>3110300</t>
  </si>
  <si>
    <t>Refurbishment of Buildings</t>
  </si>
  <si>
    <t>3110301</t>
  </si>
  <si>
    <t>Refurbishment of Buildings-Non residential buildings.</t>
  </si>
  <si>
    <t xml:space="preserve">3110500 </t>
  </si>
  <si>
    <t xml:space="preserve"> Construction and Civil Works</t>
  </si>
  <si>
    <t xml:space="preserve">3110504 </t>
  </si>
  <si>
    <t>3110599</t>
  </si>
  <si>
    <t xml:space="preserve">3110600 </t>
  </si>
  <si>
    <t xml:space="preserve"> Overhaul and Refurbishment of Construction and Civil Works</t>
  </si>
  <si>
    <t xml:space="preserve">3110604 </t>
  </si>
  <si>
    <t xml:space="preserve">Non-Residential Buildings </t>
  </si>
  <si>
    <t>ITEMIZED BUDGET FOR FY 2024/25GENDER AND CULTURE</t>
  </si>
  <si>
    <t>ESTIMATES FOR FY 2026/27</t>
  </si>
  <si>
    <t>Housing levy</t>
  </si>
  <si>
    <t>Pension civil servants</t>
  </si>
  <si>
    <t>Purchase of Uniforms and Clothing - KICOSCA ITEMS</t>
  </si>
  <si>
    <t>Purchase of House Hold Furniture and General Equipment</t>
  </si>
  <si>
    <t>Purchase of office furniture and fittings</t>
  </si>
  <si>
    <t>Purchase of Computers, Printers and other It equipment</t>
  </si>
  <si>
    <t xml:space="preserve">   Estimates FY 2024/25              </t>
  </si>
  <si>
    <t>PROJECTIONS FOR FY 2026/2027</t>
  </si>
  <si>
    <t>PUBLIC SERVICE MANAGEMENT AND ADMINISTRATION</t>
  </si>
  <si>
    <t>PRINTED ESTIMATES FOR FY 2024/2025</t>
  </si>
  <si>
    <t>PROJECTED ESTIMATES FOR FY 2025/2026</t>
  </si>
  <si>
    <t>PROJECTED ESTIMATES FOR FY 2026/27</t>
  </si>
  <si>
    <t>Maintenance of Computers, Software, and Networks(TONNERS)</t>
  </si>
  <si>
    <t>KDSP 2</t>
  </si>
  <si>
    <t>2210801'</t>
  </si>
  <si>
    <t>2210802'</t>
  </si>
  <si>
    <t>2211101'</t>
  </si>
  <si>
    <t>3111001'</t>
  </si>
  <si>
    <t>3111002'</t>
  </si>
  <si>
    <t>TOTAL RECURRENT AND DEVELOPMENT PSM</t>
  </si>
  <si>
    <t>Maintenance of Computers, Software, and Networks(tonners)</t>
  </si>
  <si>
    <t>Purchase of Fire fighting  Equipment</t>
  </si>
  <si>
    <t>HUMAN RESOURCE MANAGEMENT</t>
  </si>
  <si>
    <t>Committe Boards and Conferences</t>
  </si>
  <si>
    <t>TOTAL FOR HRM</t>
  </si>
  <si>
    <t>RECORDS MANAGEMENT</t>
  </si>
  <si>
    <t>TOTAL FOR RECORDS</t>
  </si>
  <si>
    <t>GRAND TOTAL CS</t>
  </si>
  <si>
    <t>TOTAL RECURRENT COUNTY ATTORNEY</t>
  </si>
  <si>
    <t>PRINTED ESTIMATES  F/Y 2024/2025</t>
  </si>
  <si>
    <t xml:space="preserve">DEPARTMENT </t>
  </si>
  <si>
    <t>Agriculture and Irrigation</t>
  </si>
  <si>
    <t>Education and Vocational Training Centres</t>
  </si>
  <si>
    <t>Health</t>
  </si>
  <si>
    <t>Hospital Facilities</t>
  </si>
  <si>
    <t>Roads and Public Works</t>
  </si>
  <si>
    <t>Trade Loan</t>
  </si>
  <si>
    <t>Energy</t>
  </si>
  <si>
    <t>Bungoma Municipality</t>
  </si>
  <si>
    <t>Kimilili Municipality</t>
  </si>
  <si>
    <t xml:space="preserve">Tourism and Environment </t>
  </si>
  <si>
    <t>Water and Natural Resources</t>
  </si>
  <si>
    <t>Disability Fund</t>
  </si>
  <si>
    <t>Youth and Sports</t>
  </si>
  <si>
    <t>Finance and Economic Planning</t>
  </si>
  <si>
    <t xml:space="preserve">Public Service Management and Administration </t>
  </si>
  <si>
    <t>Office of the County Secretary</t>
  </si>
  <si>
    <t>Governor’s Office</t>
  </si>
  <si>
    <t xml:space="preserve">Deputy Governor’s Office </t>
  </si>
  <si>
    <t xml:space="preserve">Grand Total </t>
  </si>
  <si>
    <t>Ceilling</t>
  </si>
  <si>
    <t>Submission</t>
  </si>
  <si>
    <t>Variance</t>
  </si>
  <si>
    <t>VOTE 4913: County Department of Roads Infrastructure and Public Works</t>
  </si>
  <si>
    <t>2410504'</t>
  </si>
  <si>
    <t>grants</t>
  </si>
  <si>
    <t>4920000101 Finance and Economic Planning -Administration</t>
  </si>
  <si>
    <t>Estimates</t>
  </si>
  <si>
    <t>2024/2025</t>
  </si>
  <si>
    <t>2110200 Basic Wages - Temporary Employees</t>
  </si>
  <si>
    <t>2110201 Contractual Employees</t>
  </si>
  <si>
    <t>2110202 Casual Labour - Others</t>
  </si>
  <si>
    <t>2110301 House Allowance</t>
  </si>
  <si>
    <t>2110314 Transport Allowance</t>
  </si>
  <si>
    <t>2110400 Personal Allowances paid as Reimbursements</t>
  </si>
  <si>
    <t>2110404 Leave Expenses</t>
  </si>
  <si>
    <t>Other Allowances</t>
  </si>
  <si>
    <t>Employer Contribution to NITA</t>
  </si>
  <si>
    <t>Employer Contribution to Housing Levy</t>
  </si>
  <si>
    <t>Employer Contribution to Local Government Security Fund</t>
  </si>
  <si>
    <t>2120103 Employer Contribution to Staff Pensions Scheme (Pending Bill)</t>
  </si>
  <si>
    <t>2210202 Internet Connections</t>
  </si>
  <si>
    <t>2210403 Daily Subsistence Allowance</t>
  </si>
  <si>
    <t>2210404 Sundry Items (e.g. airport tax, taxis, etc…)</t>
  </si>
  <si>
    <t>2210503 Purchase of Newspapers</t>
  </si>
  <si>
    <t>2210600 Rentals of Produced Assets</t>
  </si>
  <si>
    <t>2210603 Rents and Rates - Non-Residential</t>
  </si>
  <si>
    <t>2210700 Training Expenses</t>
  </si>
  <si>
    <t>2210701 Travel Allowance</t>
  </si>
  <si>
    <t>2210702 Remuneration of Instructors and Contract Based Training Services</t>
  </si>
  <si>
    <t>2210705 Field Training Attachments</t>
  </si>
  <si>
    <t>2210710 Accommodation Allowance</t>
  </si>
  <si>
    <t>2210711 Tuition Fees</t>
  </si>
  <si>
    <t>2210904 Motor Vehicle Insurance</t>
  </si>
  <si>
    <t>2211102 Supplies and Accessories for Computers and Printers</t>
  </si>
  <si>
    <t>2211308 Legal Dues/fees, Arbitration and Compensation Payments</t>
  </si>
  <si>
    <t>2211309 Management Fees</t>
  </si>
  <si>
    <t>2211311 Contracted Technical Services</t>
  </si>
  <si>
    <t>3110700 Purchase of Vehicles and Other Transport Equipment</t>
  </si>
  <si>
    <t>3110701 Purchase of Motor Vehicles</t>
  </si>
  <si>
    <t>3111002 Purchase of Computers</t>
  </si>
  <si>
    <t>4110400 Domestic Loans to Individuals and Households</t>
  </si>
  <si>
    <t>4110405 Car loans to Public Servants</t>
  </si>
  <si>
    <t>2410104 Supplier Credit</t>
  </si>
  <si>
    <t>2810200 Civil Contingency Reserves</t>
  </si>
  <si>
    <t>2810205 Emergency Fund</t>
  </si>
  <si>
    <t>3111100 Purchase of Specialised Plant, Equipment and Machinery</t>
  </si>
  <si>
    <t>3111111 Purchase of ICT networking and Communications Equipment</t>
  </si>
  <si>
    <t>3111112 Purchase of Software</t>
  </si>
  <si>
    <t>4920000201 Planning</t>
  </si>
  <si>
    <t>3111002 Purchase of Office Equipment</t>
  </si>
  <si>
    <t>4920000301 Accounts</t>
  </si>
  <si>
    <t>2211320 Temporary Committees Expenses</t>
  </si>
  <si>
    <t>Net Expenditure..................... KShs.</t>
  </si>
  <si>
    <t>4920000401 Procurement</t>
  </si>
  <si>
    <t>4920000501 Auditing</t>
  </si>
  <si>
    <t>2211310 Contracted Professional Services</t>
  </si>
  <si>
    <t>4920000601 Revenue</t>
  </si>
  <si>
    <t>4920000801 Budget</t>
  </si>
  <si>
    <t>2210604 Hire of Transport</t>
  </si>
  <si>
    <t>2210704 Hire of Training Facilities and Equipment</t>
  </si>
  <si>
    <t>4920000901 Monitoring &amp; Evaluation</t>
  </si>
  <si>
    <t>4920001001 Special Coordination Unit</t>
  </si>
  <si>
    <t>492000 STATISTICS</t>
  </si>
  <si>
    <t>3111003 Purchase of Airconditioners, Fans and Heating Appliances</t>
  </si>
  <si>
    <t>4920001201 ICT</t>
  </si>
  <si>
    <t>Total RECURRENT  Expenditure..................... KShs.</t>
  </si>
  <si>
    <t>Total Development Expenditure</t>
  </si>
  <si>
    <t>APPROVED ANNUAL BUDGET FY 2023/24</t>
  </si>
  <si>
    <t>Revised 1st supplementary estimates FY2023/24</t>
  </si>
  <si>
    <t>Finance and Economic Planning: Equalization Fund</t>
  </si>
  <si>
    <t>Rural Electrifiction and Renewable Energy Corporation (REREC)</t>
  </si>
  <si>
    <t>Transfer of Library Services</t>
  </si>
  <si>
    <t xml:space="preserve">                 III) Danish International Development Agency (DANIDA) </t>
  </si>
  <si>
    <t xml:space="preserve">                IV) COVID 19 GRANT</t>
  </si>
  <si>
    <t xml:space="preserve"> National Agricultural Value Chain Developent Project (NAVCDP)</t>
  </si>
  <si>
    <t>Kenya Livestock Commercialization Poject (KELCLOP)</t>
  </si>
  <si>
    <t>Sweden Agricutural Sector Development Sector Development Support Program Programmme(ASDSP II)</t>
  </si>
  <si>
    <t xml:space="preserve">              II) Urban Support Programme(Reccurent)</t>
  </si>
  <si>
    <t>Finance Locally Led Climate Action Program(FLLOCA )- Water</t>
  </si>
  <si>
    <t>i) Agriculture,Livestock,fisheries, and Co-op Development</t>
  </si>
  <si>
    <t>ii) Tourism,Forestry,Environment and Natural Resource and Water</t>
  </si>
  <si>
    <t>v)  Health Water  and Sanitation</t>
  </si>
  <si>
    <t>vi) Trade, Energy and Industrialization</t>
  </si>
  <si>
    <t>Local generated Revenue target</t>
  </si>
  <si>
    <t>Food Hygiene Licenses</t>
  </si>
  <si>
    <t>SHIF Reimbursement</t>
  </si>
  <si>
    <t>UNFPA</t>
  </si>
  <si>
    <t>Community Health Promoters</t>
  </si>
  <si>
    <t xml:space="preserve">    Health:I)Leasing Of Medical Equipments</t>
  </si>
  <si>
    <t>Target FY 2023/24</t>
  </si>
  <si>
    <t>Target FY 2024/25</t>
  </si>
  <si>
    <t>Gross Recurrent Expenditure..................... KShs.</t>
  </si>
  <si>
    <t>DEVELOPMENT BUDGET</t>
  </si>
  <si>
    <t xml:space="preserve">  Gross Expenditure Development................... KShs.</t>
  </si>
  <si>
    <t xml:space="preserve">  Gross Expenditure Education................... KShs.</t>
  </si>
  <si>
    <t>VOCATIONAL TRAINING CENTRES</t>
  </si>
  <si>
    <t>Grand Total Expenditure VTC</t>
  </si>
  <si>
    <t>Grand Total Expenditure Education &amp; VTC</t>
  </si>
  <si>
    <r>
      <t xml:space="preserve">Accomodation   </t>
    </r>
    <r>
      <rPr>
        <sz val="12"/>
        <color indexed="9"/>
        <rFont val="Times New Roman"/>
        <family val="1"/>
      </rPr>
      <t xml:space="preserve">  x</t>
    </r>
  </si>
  <si>
    <t>ss</t>
  </si>
  <si>
    <t xml:space="preserve">EDUCATION ( ECDE) </t>
  </si>
  <si>
    <t>Staff Promotions</t>
  </si>
  <si>
    <t>2210203 Courier and Postal Services</t>
  </si>
  <si>
    <t>2211399 Other Operating Expenses - Other</t>
  </si>
  <si>
    <t>2220299 Routine Maintenance - Other Assets</t>
  </si>
  <si>
    <t>COUNTY ASSEMBLY ANNUAL BUDGET FY 2024-2025</t>
  </si>
  <si>
    <t>COMPESATION OF EMPLOYEES</t>
  </si>
  <si>
    <t>Contractual Employees (Ward staff)</t>
  </si>
  <si>
    <t>Basic Wages - Temporary(Interns)</t>
  </si>
  <si>
    <t>Domestic Servant Allowance</t>
  </si>
  <si>
    <t>Personal Allowance paid - Other</t>
  </si>
  <si>
    <t>Printing , Advertising -Other</t>
  </si>
  <si>
    <t>Trainee Allowance</t>
  </si>
  <si>
    <t>Purchase of Workshop Tools, Spares and Small Equipment</t>
  </si>
  <si>
    <t>Specialised Materials - Other</t>
  </si>
  <si>
    <t>Office and General Supplies -ICT</t>
  </si>
  <si>
    <t>Refined Fuels and Lubricants -Other</t>
  </si>
  <si>
    <t>Laundry Expenses</t>
  </si>
  <si>
    <t>Sports Allowance</t>
  </si>
  <si>
    <t>Other Operating Expenses-Other expenses</t>
  </si>
  <si>
    <t>Minor alterations to building and civil works</t>
  </si>
  <si>
    <t>Maintenance of Computers, software and Networks</t>
  </si>
  <si>
    <t>Other Creditors</t>
  </si>
  <si>
    <t>Public Enterprises</t>
  </si>
  <si>
    <t>Purchase of Lighting Equipment</t>
  </si>
  <si>
    <t>Purchase of Specialized Plant, Equipment and Machinery</t>
  </si>
  <si>
    <t>Purchase of ICT networking and communications equipment</t>
  </si>
  <si>
    <t>Purchase of Software</t>
  </si>
  <si>
    <t>Acquisition of Land and Intangible Assets</t>
  </si>
  <si>
    <t>Acquisition of other Intangible Assets</t>
  </si>
  <si>
    <t xml:space="preserve">Motor Vehicle Purchase Reimbursement </t>
  </si>
  <si>
    <t xml:space="preserve">Car Maitenance Allowance </t>
  </si>
  <si>
    <t>sss</t>
  </si>
  <si>
    <t>Local revenue</t>
  </si>
  <si>
    <t>ssssssss</t>
  </si>
  <si>
    <t>OPERATIONS-MAINTENANCE-KSHS.</t>
  </si>
  <si>
    <t>GRANTS</t>
  </si>
  <si>
    <t>COUNTY PROJECTS</t>
  </si>
  <si>
    <t>Programme</t>
  </si>
  <si>
    <t>Requirement</t>
  </si>
  <si>
    <t>Allocation</t>
  </si>
  <si>
    <t>Balance</t>
  </si>
  <si>
    <t>Medical Cover</t>
  </si>
  <si>
    <t>Garbage Collection</t>
  </si>
  <si>
    <t>Rent</t>
  </si>
  <si>
    <t>Legal Fees</t>
  </si>
  <si>
    <t>Statutory - pension</t>
  </si>
  <si>
    <t>Office of the Governor</t>
  </si>
  <si>
    <t>Co funding</t>
  </si>
  <si>
    <t>funds</t>
  </si>
  <si>
    <t>Salary Deficit GRATUITY</t>
  </si>
  <si>
    <t>Grant</t>
  </si>
  <si>
    <t>FLOCCA</t>
  </si>
  <si>
    <t>Climate Change</t>
  </si>
  <si>
    <t>Koica III</t>
  </si>
  <si>
    <t>Aggrigated Industial Park Grant</t>
  </si>
  <si>
    <t>KISIP II</t>
  </si>
  <si>
    <t xml:space="preserve">Communuty Health Promoters </t>
  </si>
  <si>
    <t>DANIDA</t>
  </si>
  <si>
    <t>Car loan And Mortgage</t>
  </si>
  <si>
    <r>
      <t xml:space="preserve">Accomodation   </t>
    </r>
    <r>
      <rPr>
        <i/>
        <sz val="12"/>
        <color rgb="FF000000"/>
        <rFont val="Times New Roman"/>
        <family val="1"/>
      </rPr>
      <t xml:space="preserve">  </t>
    </r>
  </si>
  <si>
    <t>CO- FUNDING</t>
  </si>
  <si>
    <t>Other Capital Grants and Transfers- Kisip Cofunding</t>
  </si>
  <si>
    <t>2640101 Bursary</t>
  </si>
  <si>
    <t>Community Health Promoters Co funding</t>
  </si>
  <si>
    <t>Other programmes</t>
  </si>
  <si>
    <t>DEPARTMENT</t>
  </si>
  <si>
    <t>5% BILL 1</t>
  </si>
  <si>
    <t>PENDING BILLS</t>
  </si>
  <si>
    <t>CRITICAL PROGRAMMES</t>
  </si>
  <si>
    <t>sssss</t>
  </si>
  <si>
    <t xml:space="preserve">5% Bill 0ne </t>
  </si>
  <si>
    <t>Under funded Programmes</t>
  </si>
  <si>
    <t>School Feeding Programme</t>
  </si>
  <si>
    <t>COUNTY GOVERNEMENT OF BUNGOMA</t>
  </si>
  <si>
    <t>REVENUE PROJECTION FOR FY 2024/25</t>
  </si>
  <si>
    <t>FINANCE ACT, 2023</t>
  </si>
  <si>
    <t>FIRST SCHEDULE: FINANCE AND ECONOMIC PLANNING</t>
  </si>
  <si>
    <t>No.</t>
  </si>
  <si>
    <t>Penalties</t>
  </si>
  <si>
    <t>SECOND SCHEDULE: AGRICULTURE, LIVESTOCK, VETERINARY AND FISHERIES</t>
  </si>
  <si>
    <t>Mabanga AMC: Hire of Machinery</t>
  </si>
  <si>
    <t>Mabanga ATC-Hospitality and sale of farm produce</t>
  </si>
  <si>
    <t>Meat Inspection, Vaccinations, Licensing and AI</t>
  </si>
  <si>
    <t>Livestock Movement Permits</t>
  </si>
  <si>
    <t>Cooperative Audit fees</t>
  </si>
  <si>
    <t>Sale of Fertilizers</t>
  </si>
  <si>
    <t>THIRD SCHEDULE: ENVIRONMENT, WATER AND NATURAL RESOURCES</t>
  </si>
  <si>
    <t>Noise Emission Permit</t>
  </si>
  <si>
    <t>Quarrying and Royalties</t>
  </si>
  <si>
    <t>FOURTH SCHEDULE- PUBLIC HEALTH AND SANITATION</t>
  </si>
  <si>
    <t>Burial fees</t>
  </si>
  <si>
    <t>FIFTH SCHEDULE: EDUCATION, CULTURE, YOUTH AND SOCIAL SERVICES</t>
  </si>
  <si>
    <t>A. EDUCATION</t>
  </si>
  <si>
    <t>Registration of schools</t>
  </si>
  <si>
    <t>B.  CULTURE, YOUTH AND SOCIAL SERVICES</t>
  </si>
  <si>
    <t>Stadium Hire</t>
  </si>
  <si>
    <t>SIXTH SCHEDULE: LANDS, URBAN &amp; PHYSICAL PLANNING</t>
  </si>
  <si>
    <t>Land fees</t>
  </si>
  <si>
    <t>Plot Transfer</t>
  </si>
  <si>
    <t>SEVENTH SCHEDULE: LANDS, URBAN &amp; PHYSICAL PLANNING</t>
  </si>
  <si>
    <t>Occupation Certificate</t>
  </si>
  <si>
    <t>EIGHTH SCHEDULE: HOUSING &amp; SANITATION</t>
  </si>
  <si>
    <t>NINETH SCHEDULE: LANDS, URBAN &amp; PHYSICAL PLANNING</t>
  </si>
  <si>
    <t>TENTH SCHEDULE: ROADS, PUBLIC WORKS AND TRANSPORT</t>
  </si>
  <si>
    <t>Fire Compliance fees</t>
  </si>
  <si>
    <t>Material testing</t>
  </si>
  <si>
    <t>ELEVENTH SCHEDULE: ROADS, PUBLIC WORKS AND TRANSPORT</t>
  </si>
  <si>
    <t>Enclosed Bus Park Fees</t>
  </si>
  <si>
    <t>Impound Charges</t>
  </si>
  <si>
    <t>TWELFTH SCHEDULE – TRADE, ENER,GY &amp; INDUSTRIALIZATION</t>
  </si>
  <si>
    <t>THIRTEENTH SCHEDULE: TRADE, ENERGY &amp; INDUSTRIALIZATION</t>
  </si>
  <si>
    <t>FIFTEENTH SCHEDULE: TRADE, ENERGY &amp; INDUSTRIALIZATION</t>
  </si>
  <si>
    <t>SIXTEENTH SCHEDULE: GENDER</t>
  </si>
  <si>
    <t>Bank Commissions</t>
  </si>
  <si>
    <t>Sub-total</t>
  </si>
  <si>
    <t>TOTAL PROJECTION</t>
  </si>
  <si>
    <t>Gross Expenditure</t>
  </si>
  <si>
    <t>Net Expenditure</t>
  </si>
  <si>
    <t>Local Revenue</t>
  </si>
  <si>
    <t>Magemo  dam</t>
  </si>
  <si>
    <t>Tea factory</t>
  </si>
  <si>
    <t>100 Bed Capacity- Sirisia</t>
  </si>
  <si>
    <t>Construction of mordern Incinerator</t>
  </si>
  <si>
    <t>Salmond Road</t>
  </si>
  <si>
    <t>Kamkuywa Market</t>
  </si>
  <si>
    <t>Repair and Maintenance of street lights</t>
  </si>
  <si>
    <t>Office block</t>
  </si>
  <si>
    <t>Development of physical plans</t>
  </si>
  <si>
    <t>Fertilizer</t>
  </si>
  <si>
    <t>Seeds</t>
  </si>
  <si>
    <t>Mordern Market stalls</t>
  </si>
  <si>
    <t>Street lights</t>
  </si>
  <si>
    <t>Establishment of Webuye and Chwele municipalities</t>
  </si>
  <si>
    <r>
      <t xml:space="preserve"> </t>
    </r>
    <r>
      <rPr>
        <b/>
        <sz val="12"/>
        <rFont val="Times New Roman"/>
        <family val="1"/>
      </rPr>
      <t>Education</t>
    </r>
    <r>
      <rPr>
        <sz val="12"/>
        <rFont val="Times New Roman"/>
        <family val="1"/>
      </rPr>
      <t>: Delopement of Youth Polytecnics</t>
    </r>
  </si>
  <si>
    <r>
      <rPr>
        <b/>
        <sz val="12"/>
        <rFont val="Times New Roman"/>
        <family val="1"/>
      </rPr>
      <t>Agriculture:</t>
    </r>
    <r>
      <rPr>
        <sz val="12"/>
        <rFont val="Times New Roman"/>
        <family val="1"/>
      </rPr>
      <t xml:space="preserve"> Fertilizer Subsidy Programme</t>
    </r>
  </si>
  <si>
    <r>
      <rPr>
        <b/>
        <sz val="12"/>
        <rFont val="Times New Roman"/>
        <family val="1"/>
      </rPr>
      <t>Roads:</t>
    </r>
    <r>
      <rPr>
        <sz val="12"/>
        <rFont val="Times New Roman"/>
        <family val="1"/>
      </rPr>
      <t xml:space="preserve">  I) Fuel Levy Fund</t>
    </r>
  </si>
  <si>
    <r>
      <rPr>
        <b/>
        <sz val="12"/>
        <rFont val="Times New Roman"/>
        <family val="1"/>
      </rPr>
      <t>Health:</t>
    </r>
    <r>
      <rPr>
        <sz val="12"/>
        <rFont val="Times New Roman"/>
        <family val="1"/>
      </rPr>
      <t xml:space="preserve">      I)UNICEF</t>
    </r>
  </si>
  <si>
    <r>
      <rPr>
        <b/>
        <sz val="12"/>
        <rFont val="Times New Roman"/>
        <family val="1"/>
      </rPr>
      <t>Agriculture:</t>
    </r>
    <r>
      <rPr>
        <sz val="12"/>
        <rFont val="Times New Roman"/>
        <family val="1"/>
      </rPr>
      <t xml:space="preserve"> World bank Agricultural and Rural growth           Projects</t>
    </r>
  </si>
  <si>
    <r>
      <rPr>
        <b/>
        <sz val="12"/>
        <rFont val="Times New Roman"/>
        <family val="1"/>
      </rPr>
      <t>County Secretary:</t>
    </r>
    <r>
      <rPr>
        <sz val="12"/>
        <rFont val="Times New Roman"/>
        <family val="1"/>
      </rPr>
      <t xml:space="preserve">  Kenya Devolution Support Programme- Level 1</t>
    </r>
  </si>
  <si>
    <r>
      <rPr>
        <b/>
        <sz val="12"/>
        <rFont val="Times New Roman"/>
        <family val="1"/>
      </rPr>
      <t>Lands</t>
    </r>
    <r>
      <rPr>
        <sz val="12"/>
        <rFont val="Times New Roman"/>
        <family val="1"/>
      </rPr>
      <t>: I) Urban Support Programme(Development)</t>
    </r>
  </si>
  <si>
    <r>
      <rPr>
        <b/>
        <sz val="12"/>
        <rFont val="Times New Roman"/>
        <family val="1"/>
      </rPr>
      <t>Water and Natural Resources</t>
    </r>
    <r>
      <rPr>
        <sz val="12"/>
        <rFont val="Times New Roman"/>
        <family val="1"/>
      </rPr>
      <t xml:space="preserve"> I) WATER KOICA</t>
    </r>
  </si>
  <si>
    <r>
      <rPr>
        <b/>
        <sz val="12"/>
        <rFont val="Constantia"/>
        <family val="1"/>
      </rPr>
      <t xml:space="preserve">Trade: </t>
    </r>
    <r>
      <rPr>
        <sz val="12"/>
        <rFont val="Constantia"/>
        <family val="1"/>
      </rPr>
      <t>Aggregated Industrial Park Grant</t>
    </r>
  </si>
  <si>
    <t xml:space="preserve">                                                                             FINANCIAL YEAR 2024-2025</t>
  </si>
  <si>
    <t>3110707 Purchase of Ambulances</t>
  </si>
  <si>
    <t>ECONOMIC CLASSIFICATION</t>
  </si>
  <si>
    <t>Agriculture,Livestock,fisheries, and Co-op Development</t>
  </si>
  <si>
    <t>PERCENTAGE</t>
  </si>
  <si>
    <t>DEPARTMENTAL ALLOCATION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</si>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</sst>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_-;_-@_-"/>
    <numFmt numFmtId="167" formatCode="_-* #,##0_-;\-* #,##0_-;_-* &quot;-&quot;??_-;_-@_-"/>
    <numFmt numFmtId="168" formatCode="_(* #,##0.00_);_(* \(#,##0.00\);_(* \-??_);_(@_)"/>
    <numFmt numFmtId="169" formatCode="&quot;TI¨E&quot;"/>
    <numFmt numFmtId="170" formatCode="#,##0;&quot;-&quot;#,##0"/>
    <numFmt numFmtId="171" formatCode="#,##0;#,##0"/>
    <numFmt numFmtId="172" formatCode="#,##0;&quot;(&quot;#,##0&quot;)&quot;"/>
    <numFmt numFmtId="173" formatCode="&quot;Gross Expenditure..................... KShs.&quot;"/>
    <numFmt numFmtId="174" formatCode="&quot;  Gross Expenditure................... KShs.&quot;"/>
    <numFmt numFmtId="175" formatCode="&quot;Net Expenditure..................... KShs.&quot;"/>
    <numFmt numFmtId="176" formatCode="_ * #,##0_ ;_ * \-#,##0_ ;_ * &quot;-&quot;??_ ;_ @_ 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4"/>
      <name val="Times New Roman"/>
      <family val="1"/>
    </font>
    <font>
      <sz val="11"/>
      <color indexed="0"/>
      <name val="Times New Roman"/>
      <family val="1"/>
    </font>
    <font>
      <sz val="11"/>
      <color indexed="4"/>
      <name val="Times New Roman"/>
      <family val="1"/>
    </font>
    <font>
      <b/>
      <sz val="11"/>
      <color indexed="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Calibri"/>
      <family val="2"/>
      <scheme val="minor"/>
    </font>
    <font>
      <sz val="12"/>
      <name val="Times New Roman"/>
      <family val="1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onstantia"/>
      <family val="1"/>
    </font>
    <font>
      <b/>
      <sz val="12"/>
      <color theme="1"/>
      <name val="Constantia"/>
      <family val="1"/>
    </font>
    <font>
      <sz val="12"/>
      <color theme="0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charset val="1"/>
      <scheme val="minor"/>
    </font>
    <font>
      <b/>
      <sz val="11"/>
      <color rgb="FF0070C0"/>
      <name val="Times New Roman"/>
      <family val="1"/>
    </font>
    <font>
      <b/>
      <sz val="12"/>
      <color indexed="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rgb="FF000000"/>
      <name val="Constantia"/>
      <family val="1"/>
    </font>
    <font>
      <sz val="12"/>
      <color rgb="FFFF000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"/>
      <name val="Constantia"/>
      <family val="1"/>
    </font>
    <font>
      <i/>
      <sz val="12"/>
      <name val="Times New Roman"/>
      <family val="1"/>
    </font>
    <font>
      <sz val="12"/>
      <color rgb="FF000000"/>
      <name val="Constantia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rgb="FF000000"/>
      <name val="Constantia"/>
      <family val="1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sz val="12"/>
      <color indexed="9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000000"/>
      <name val="Constantia"/>
      <family val="1"/>
    </font>
    <font>
      <i/>
      <sz val="12"/>
      <name val="Constantia"/>
      <family val="1"/>
    </font>
    <font>
      <b/>
      <i/>
      <sz val="12"/>
      <name val="Times New Roman"/>
      <family val="1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1"/>
      <color theme="1"/>
      <name val="Constantia"/>
      <family val="1"/>
    </font>
    <font>
      <sz val="11"/>
      <color theme="1"/>
      <name val="Constantia"/>
      <family val="1"/>
    </font>
    <font>
      <sz val="11"/>
      <name val="Constantia"/>
      <family val="1"/>
    </font>
    <font>
      <sz val="11"/>
      <color rgb="FF000000"/>
      <name val="Constantia"/>
      <family val="1"/>
    </font>
    <font>
      <sz val="12"/>
      <color rgb="FFC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u/>
      <sz val="12"/>
      <name val="Times New Roman"/>
      <family val="1"/>
    </font>
    <font>
      <b/>
      <sz val="12"/>
      <name val="Constantia"/>
      <family val="1"/>
    </font>
    <font>
      <sz val="11"/>
      <name val="Bookman Old Style"/>
      <family val="1"/>
    </font>
    <font>
      <b/>
      <sz val="11"/>
      <color rgb="FF000000"/>
      <name val="Bookman Old Style"/>
      <family val="1"/>
    </font>
    <font>
      <sz val="12"/>
      <color rgb="FF000000"/>
      <name val="Bookman Old Style"/>
      <family val="1"/>
    </font>
    <font>
      <b/>
      <sz val="12"/>
      <color theme="1"/>
      <name val="Bookman Old Style"/>
      <family val="1"/>
    </font>
    <font>
      <b/>
      <sz val="16"/>
      <color theme="1"/>
      <name val="Bookman Old Style"/>
      <family val="1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00B0F0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B0F0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ADB9CA"/>
        <bgColor rgb="FFADB9CA"/>
      </patternFill>
    </fill>
    <fill>
      <patternFill patternType="solid">
        <fgColor theme="4" tint="0.59999389629810485"/>
        <bgColor rgb="FF00B0F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rgb="FF00B0F0"/>
      </patternFill>
    </fill>
    <fill>
      <patternFill patternType="solid">
        <fgColor rgb="FFFFFFFF"/>
        <bgColor rgb="FFFFFFFF"/>
      </patternFill>
    </fill>
    <fill>
      <patternFill patternType="solid">
        <fgColor theme="4"/>
        <bgColor rgb="FF00B0F0"/>
      </patternFill>
    </fill>
    <fill>
      <patternFill patternType="solid">
        <fgColor theme="0"/>
        <bgColor theme="9" tint="0.7999511703848384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theme="9" tint="0.79998168889431442"/>
      </patternFill>
    </fill>
    <fill>
      <patternFill patternType="solid">
        <fgColor theme="5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medium">
        <color rgb="FF000000"/>
      </right>
      <top style="thin">
        <color rgb="FFD3D3D3"/>
      </top>
      <bottom style="thin">
        <color rgb="FFD3D3D3"/>
      </bottom>
      <diagonal/>
    </border>
    <border>
      <left style="medium">
        <color rgb="FF000000"/>
      </left>
      <right style="medium">
        <color rgb="FF000000"/>
      </right>
      <top style="thin">
        <color rgb="FFD3D3D3"/>
      </top>
      <bottom style="thin">
        <color rgb="FFD3D3D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/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8" fillId="0" borderId="0"/>
    <xf numFmtId="164" fontId="7" fillId="0" borderId="0">
      <alignment vertical="top"/>
      <protection locked="0"/>
    </xf>
    <xf numFmtId="0" fontId="27" fillId="0" borderId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7" fillId="0" borderId="0">
      <alignment vertical="top"/>
      <protection locked="0"/>
    </xf>
    <xf numFmtId="164" fontId="1" fillId="0" borderId="0" applyFont="0" applyFill="0" applyBorder="0" applyAlignment="0" applyProtection="0"/>
  </cellStyleXfs>
  <cellXfs count="867">
    <xf numFmtId="0" fontId="0" fillId="0" borderId="0" xfId="0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3" fontId="17" fillId="0" borderId="0" xfId="0" applyNumberFormat="1" applyFont="1"/>
    <xf numFmtId="0" fontId="22" fillId="0" borderId="0" xfId="0" applyFont="1"/>
    <xf numFmtId="0" fontId="21" fillId="0" borderId="0" xfId="0" applyFont="1"/>
    <xf numFmtId="0" fontId="21" fillId="2" borderId="0" xfId="0" applyFont="1" applyFill="1"/>
    <xf numFmtId="0" fontId="21" fillId="0" borderId="0" xfId="0" applyFont="1" applyAlignment="1">
      <alignment horizontal="right"/>
    </xf>
    <xf numFmtId="165" fontId="22" fillId="0" borderId="0" xfId="0" applyNumberFormat="1" applyFont="1"/>
    <xf numFmtId="165" fontId="21" fillId="0" borderId="0" xfId="0" applyNumberFormat="1" applyFont="1"/>
    <xf numFmtId="0" fontId="17" fillId="0" borderId="0" xfId="0" applyFont="1"/>
    <xf numFmtId="0" fontId="17" fillId="2" borderId="0" xfId="0" applyFont="1" applyFill="1"/>
    <xf numFmtId="0" fontId="22" fillId="0" borderId="0" xfId="0" applyFont="1" applyAlignment="1">
      <alignment wrapText="1"/>
    </xf>
    <xf numFmtId="3" fontId="21" fillId="0" borderId="0" xfId="0" applyNumberFormat="1" applyFont="1"/>
    <xf numFmtId="165" fontId="22" fillId="2" borderId="0" xfId="0" applyNumberFormat="1" applyFont="1" applyFill="1"/>
    <xf numFmtId="0" fontId="22" fillId="2" borderId="0" xfId="0" applyFont="1" applyFill="1"/>
    <xf numFmtId="3" fontId="17" fillId="2" borderId="0" xfId="0" applyNumberFormat="1" applyFont="1" applyFill="1"/>
    <xf numFmtId="165" fontId="17" fillId="0" borderId="0" xfId="0" applyNumberFormat="1" applyFont="1"/>
    <xf numFmtId="165" fontId="29" fillId="0" borderId="0" xfId="0" applyNumberFormat="1" applyFont="1"/>
    <xf numFmtId="0" fontId="19" fillId="0" borderId="0" xfId="0" applyFont="1"/>
    <xf numFmtId="0" fontId="23" fillId="0" borderId="0" xfId="0" applyFont="1" applyAlignment="1">
      <alignment wrapText="1"/>
    </xf>
    <xf numFmtId="0" fontId="23" fillId="0" borderId="0" xfId="0" applyFont="1"/>
    <xf numFmtId="0" fontId="24" fillId="0" borderId="0" xfId="0" applyFont="1"/>
    <xf numFmtId="0" fontId="5" fillId="0" borderId="19" xfId="0" applyFont="1" applyBorder="1"/>
    <xf numFmtId="0" fontId="5" fillId="0" borderId="19" xfId="0" applyFont="1" applyBorder="1" applyAlignment="1">
      <alignment horizontal="left"/>
    </xf>
    <xf numFmtId="0" fontId="21" fillId="0" borderId="19" xfId="0" applyFont="1" applyBorder="1"/>
    <xf numFmtId="0" fontId="22" fillId="0" borderId="19" xfId="0" applyFont="1" applyBorder="1"/>
    <xf numFmtId="0" fontId="26" fillId="0" borderId="19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5" fillId="0" borderId="19" xfId="0" applyFont="1" applyBorder="1" applyAlignment="1">
      <alignment wrapText="1"/>
    </xf>
    <xf numFmtId="165" fontId="22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left" wrapText="1"/>
    </xf>
    <xf numFmtId="0" fontId="10" fillId="0" borderId="19" xfId="0" applyFont="1" applyBorder="1" applyAlignment="1">
      <alignment wrapText="1"/>
    </xf>
    <xf numFmtId="0" fontId="10" fillId="0" borderId="19" xfId="0" applyFont="1" applyBorder="1" applyAlignment="1">
      <alignment horizontal="left"/>
    </xf>
    <xf numFmtId="0" fontId="10" fillId="0" borderId="19" xfId="0" applyFont="1" applyBorder="1"/>
    <xf numFmtId="165" fontId="2" fillId="4" borderId="19" xfId="0" applyNumberFormat="1" applyFont="1" applyFill="1" applyBorder="1" applyAlignment="1">
      <alignment horizontal="left" vertical="top" wrapText="1"/>
    </xf>
    <xf numFmtId="165" fontId="2" fillId="4" borderId="19" xfId="0" applyNumberFormat="1" applyFont="1" applyFill="1" applyBorder="1" applyAlignment="1">
      <alignment vertical="top" wrapText="1"/>
    </xf>
    <xf numFmtId="0" fontId="10" fillId="2" borderId="19" xfId="0" applyFont="1" applyFill="1" applyBorder="1" applyAlignment="1">
      <alignment horizontal="left"/>
    </xf>
    <xf numFmtId="0" fontId="10" fillId="2" borderId="19" xfId="0" applyFont="1" applyFill="1" applyBorder="1"/>
    <xf numFmtId="165" fontId="10" fillId="2" borderId="19" xfId="1" applyNumberFormat="1" applyFont="1" applyFill="1" applyBorder="1"/>
    <xf numFmtId="165" fontId="2" fillId="2" borderId="19" xfId="1" applyNumberFormat="1" applyFont="1" applyFill="1" applyBorder="1"/>
    <xf numFmtId="0" fontId="11" fillId="0" borderId="19" xfId="0" applyFont="1" applyBorder="1" applyAlignment="1">
      <alignment horizontal="left"/>
    </xf>
    <xf numFmtId="0" fontId="11" fillId="0" borderId="19" xfId="0" applyFont="1" applyBorder="1"/>
    <xf numFmtId="165" fontId="5" fillId="2" borderId="19" xfId="1" applyNumberFormat="1" applyFont="1" applyFill="1" applyBorder="1"/>
    <xf numFmtId="165" fontId="5" fillId="0" borderId="19" xfId="1" applyNumberFormat="1" applyFont="1" applyFill="1" applyBorder="1"/>
    <xf numFmtId="0" fontId="10" fillId="2" borderId="19" xfId="0" applyFont="1" applyFill="1" applyBorder="1" applyAlignment="1">
      <alignment wrapText="1"/>
    </xf>
    <xf numFmtId="165" fontId="12" fillId="2" borderId="19" xfId="1" applyNumberFormat="1" applyFont="1" applyFill="1" applyBorder="1"/>
    <xf numFmtId="0" fontId="5" fillId="2" borderId="19" xfId="0" applyFont="1" applyFill="1" applyBorder="1" applyAlignment="1">
      <alignment horizontal="left"/>
    </xf>
    <xf numFmtId="0" fontId="5" fillId="2" borderId="19" xfId="0" applyFont="1" applyFill="1" applyBorder="1" applyAlignment="1">
      <alignment wrapText="1"/>
    </xf>
    <xf numFmtId="0" fontId="5" fillId="2" borderId="19" xfId="0" applyFont="1" applyFill="1" applyBorder="1"/>
    <xf numFmtId="0" fontId="12" fillId="2" borderId="19" xfId="0" applyFont="1" applyFill="1" applyBorder="1" applyAlignment="1">
      <alignment horizontal="left"/>
    </xf>
    <xf numFmtId="0" fontId="12" fillId="2" borderId="19" xfId="0" applyFont="1" applyFill="1" applyBorder="1"/>
    <xf numFmtId="0" fontId="13" fillId="0" borderId="19" xfId="0" applyFont="1" applyBorder="1" applyAlignment="1">
      <alignment horizontal="left"/>
    </xf>
    <xf numFmtId="0" fontId="28" fillId="0" borderId="19" xfId="0" applyFont="1" applyBorder="1"/>
    <xf numFmtId="165" fontId="10" fillId="0" borderId="19" xfId="1" applyNumberFormat="1" applyFont="1" applyFill="1" applyBorder="1"/>
    <xf numFmtId="165" fontId="12" fillId="0" borderId="19" xfId="1" applyNumberFormat="1" applyFont="1" applyFill="1" applyBorder="1"/>
    <xf numFmtId="165" fontId="10" fillId="0" borderId="19" xfId="0" applyNumberFormat="1" applyFont="1" applyBorder="1"/>
    <xf numFmtId="165" fontId="10" fillId="0" borderId="19" xfId="0" applyNumberFormat="1" applyFont="1" applyBorder="1" applyAlignment="1">
      <alignment horizontal="left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22" fillId="14" borderId="19" xfId="0" applyFont="1" applyFill="1" applyBorder="1" applyAlignment="1">
      <alignment horizontal="left" vertical="top" wrapText="1"/>
    </xf>
    <xf numFmtId="0" fontId="26" fillId="0" borderId="19" xfId="0" applyFont="1" applyBorder="1" applyAlignment="1">
      <alignment horizontal="left" vertical="top"/>
    </xf>
    <xf numFmtId="0" fontId="17" fillId="0" borderId="19" xfId="0" applyFont="1" applyBorder="1" applyAlignment="1">
      <alignment horizontal="left" vertical="top"/>
    </xf>
    <xf numFmtId="165" fontId="3" fillId="0" borderId="0" xfId="0" applyNumberFormat="1" applyFont="1"/>
    <xf numFmtId="3" fontId="17" fillId="0" borderId="19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3" fontId="17" fillId="2" borderId="19" xfId="0" applyNumberFormat="1" applyFont="1" applyFill="1" applyBorder="1" applyAlignment="1">
      <alignment horizontal="left"/>
    </xf>
    <xf numFmtId="0" fontId="17" fillId="2" borderId="19" xfId="0" applyFont="1" applyFill="1" applyBorder="1" applyAlignment="1">
      <alignment horizontal="left" readingOrder="1"/>
    </xf>
    <xf numFmtId="0" fontId="17" fillId="0" borderId="19" xfId="0" applyFont="1" applyBorder="1" applyAlignment="1">
      <alignment horizontal="left" readingOrder="1"/>
    </xf>
    <xf numFmtId="3" fontId="26" fillId="2" borderId="19" xfId="0" applyNumberFormat="1" applyFont="1" applyFill="1" applyBorder="1" applyAlignment="1">
      <alignment horizontal="left"/>
    </xf>
    <xf numFmtId="0" fontId="17" fillId="2" borderId="20" xfId="0" applyFont="1" applyFill="1" applyBorder="1" applyAlignment="1">
      <alignment horizontal="left" wrapText="1"/>
    </xf>
    <xf numFmtId="0" fontId="21" fillId="0" borderId="19" xfId="0" applyFont="1" applyBorder="1" applyAlignment="1">
      <alignment horizontal="left"/>
    </xf>
    <xf numFmtId="0" fontId="26" fillId="2" borderId="19" xfId="0" applyFont="1" applyFill="1" applyBorder="1" applyAlignment="1">
      <alignment horizontal="left"/>
    </xf>
    <xf numFmtId="0" fontId="17" fillId="2" borderId="19" xfId="0" applyFont="1" applyFill="1" applyBorder="1" applyAlignment="1">
      <alignment horizontal="left"/>
    </xf>
    <xf numFmtId="0" fontId="24" fillId="0" borderId="19" xfId="0" applyFont="1" applyBorder="1"/>
    <xf numFmtId="165" fontId="26" fillId="2" borderId="19" xfId="5" applyNumberFormat="1" applyFont="1" applyFill="1" applyBorder="1" applyAlignment="1">
      <alignment vertical="top" wrapText="1"/>
    </xf>
    <xf numFmtId="0" fontId="26" fillId="2" borderId="19" xfId="0" applyFont="1" applyFill="1" applyBorder="1" applyAlignment="1">
      <alignment vertical="top" wrapText="1"/>
    </xf>
    <xf numFmtId="0" fontId="26" fillId="2" borderId="19" xfId="0" applyFont="1" applyFill="1" applyBorder="1" applyAlignment="1">
      <alignment horizontal="left" vertical="top" wrapText="1"/>
    </xf>
    <xf numFmtId="165" fontId="17" fillId="2" borderId="19" xfId="5" applyNumberFormat="1" applyFont="1" applyFill="1" applyBorder="1" applyAlignment="1">
      <alignment vertical="top" wrapText="1"/>
    </xf>
    <xf numFmtId="164" fontId="17" fillId="2" borderId="19" xfId="0" applyNumberFormat="1" applyFont="1" applyFill="1" applyBorder="1" applyAlignment="1">
      <alignment vertical="top" wrapText="1"/>
    </xf>
    <xf numFmtId="0" fontId="17" fillId="2" borderId="19" xfId="0" applyFont="1" applyFill="1" applyBorder="1" applyAlignment="1">
      <alignment horizontal="left" vertical="top" wrapText="1"/>
    </xf>
    <xf numFmtId="3" fontId="26" fillId="2" borderId="19" xfId="0" applyNumberFormat="1" applyFont="1" applyFill="1" applyBorder="1" applyAlignment="1">
      <alignment horizontal="left" vertical="top" wrapText="1"/>
    </xf>
    <xf numFmtId="164" fontId="22" fillId="0" borderId="19" xfId="1" applyFont="1" applyBorder="1"/>
    <xf numFmtId="164" fontId="26" fillId="2" borderId="19" xfId="0" applyNumberFormat="1" applyFont="1" applyFill="1" applyBorder="1" applyAlignment="1">
      <alignment vertical="top" wrapText="1"/>
    </xf>
    <xf numFmtId="165" fontId="17" fillId="0" borderId="19" xfId="5" applyNumberFormat="1" applyFont="1" applyFill="1" applyBorder="1" applyAlignment="1"/>
    <xf numFmtId="164" fontId="21" fillId="0" borderId="19" xfId="1" applyFont="1" applyBorder="1"/>
    <xf numFmtId="0" fontId="17" fillId="0" borderId="19" xfId="0" applyFont="1" applyBorder="1"/>
    <xf numFmtId="0" fontId="17" fillId="0" borderId="21" xfId="0" applyFont="1" applyBorder="1" applyAlignment="1">
      <alignment wrapText="1"/>
    </xf>
    <xf numFmtId="164" fontId="22" fillId="0" borderId="19" xfId="1" applyFont="1" applyBorder="1" applyAlignment="1">
      <alignment vertical="top"/>
    </xf>
    <xf numFmtId="164" fontId="22" fillId="0" borderId="19" xfId="1" applyFont="1" applyBorder="1" applyAlignment="1">
      <alignment vertical="center"/>
    </xf>
    <xf numFmtId="164" fontId="17" fillId="2" borderId="19" xfId="0" applyNumberFormat="1" applyFont="1" applyFill="1" applyBorder="1" applyAlignment="1">
      <alignment vertical="center" wrapText="1"/>
    </xf>
    <xf numFmtId="0" fontId="26" fillId="0" borderId="2" xfId="0" applyFont="1" applyBorder="1" applyAlignment="1">
      <alignment horizontal="left" vertical="top" wrapText="1" readingOrder="1"/>
    </xf>
    <xf numFmtId="0" fontId="26" fillId="2" borderId="19" xfId="0" applyFont="1" applyFill="1" applyBorder="1" applyAlignment="1">
      <alignment horizontal="left" vertical="top" readingOrder="1"/>
    </xf>
    <xf numFmtId="165" fontId="26" fillId="2" borderId="19" xfId="1" applyNumberFormat="1" applyFont="1" applyFill="1" applyBorder="1" applyAlignment="1">
      <alignment wrapText="1" readingOrder="1"/>
    </xf>
    <xf numFmtId="0" fontId="17" fillId="2" borderId="23" xfId="0" applyFont="1" applyFill="1" applyBorder="1" applyAlignment="1">
      <alignment horizontal="left" wrapText="1" readingOrder="1"/>
    </xf>
    <xf numFmtId="165" fontId="17" fillId="2" borderId="19" xfId="1" applyNumberFormat="1" applyFont="1" applyFill="1" applyBorder="1" applyAlignment="1">
      <alignment wrapText="1" readingOrder="1"/>
    </xf>
    <xf numFmtId="0" fontId="17" fillId="2" borderId="19" xfId="0" applyFont="1" applyFill="1" applyBorder="1" applyAlignment="1">
      <alignment horizontal="left" wrapText="1" readingOrder="1"/>
    </xf>
    <xf numFmtId="0" fontId="26" fillId="2" borderId="19" xfId="0" applyFont="1" applyFill="1" applyBorder="1" applyAlignment="1">
      <alignment vertical="top" wrapText="1" readingOrder="1"/>
    </xf>
    <xf numFmtId="0" fontId="15" fillId="2" borderId="19" xfId="0" applyFont="1" applyFill="1" applyBorder="1" applyAlignment="1">
      <alignment vertical="top" wrapText="1" readingOrder="1"/>
    </xf>
    <xf numFmtId="0" fontId="17" fillId="2" borderId="19" xfId="0" applyFont="1" applyFill="1" applyBorder="1" applyAlignment="1">
      <alignment horizontal="left" vertical="top" readingOrder="1"/>
    </xf>
    <xf numFmtId="0" fontId="26" fillId="2" borderId="19" xfId="0" applyFont="1" applyFill="1" applyBorder="1" applyAlignment="1">
      <alignment horizontal="left" wrapText="1" readingOrder="1"/>
    </xf>
    <xf numFmtId="165" fontId="22" fillId="2" borderId="19" xfId="1" applyNumberFormat="1" applyFont="1" applyFill="1" applyBorder="1" applyAlignment="1"/>
    <xf numFmtId="0" fontId="26" fillId="2" borderId="19" xfId="0" applyFont="1" applyFill="1" applyBorder="1" applyAlignment="1">
      <alignment horizontal="left" readingOrder="1"/>
    </xf>
    <xf numFmtId="165" fontId="21" fillId="2" borderId="19" xfId="1" applyNumberFormat="1" applyFont="1" applyFill="1" applyBorder="1" applyAlignment="1"/>
    <xf numFmtId="0" fontId="26" fillId="0" borderId="19" xfId="0" applyFont="1" applyBorder="1" applyAlignment="1">
      <alignment horizontal="left" vertical="top" wrapText="1" readingOrder="1"/>
    </xf>
    <xf numFmtId="0" fontId="26" fillId="0" borderId="19" xfId="0" applyFont="1" applyBorder="1" applyAlignment="1">
      <alignment horizontal="left" vertical="top" readingOrder="1"/>
    </xf>
    <xf numFmtId="165" fontId="26" fillId="0" borderId="19" xfId="1" applyNumberFormat="1" applyFont="1" applyBorder="1" applyAlignment="1">
      <alignment wrapText="1" readingOrder="1"/>
    </xf>
    <xf numFmtId="0" fontId="17" fillId="0" borderId="19" xfId="0" applyFont="1" applyBorder="1" applyAlignment="1">
      <alignment horizontal="left" wrapText="1" readingOrder="1"/>
    </xf>
    <xf numFmtId="165" fontId="17" fillId="0" borderId="19" xfId="1" applyNumberFormat="1" applyFont="1" applyBorder="1" applyAlignment="1">
      <alignment wrapText="1" readingOrder="1"/>
    </xf>
    <xf numFmtId="0" fontId="26" fillId="0" borderId="19" xfId="0" applyFont="1" applyBorder="1" applyAlignment="1">
      <alignment vertical="top" wrapText="1" readingOrder="1"/>
    </xf>
    <xf numFmtId="0" fontId="15" fillId="0" borderId="19" xfId="0" applyFont="1" applyBorder="1" applyAlignment="1">
      <alignment vertical="top" wrapText="1" readingOrder="1"/>
    </xf>
    <xf numFmtId="0" fontId="26" fillId="0" borderId="19" xfId="0" applyFont="1" applyBorder="1" applyAlignment="1">
      <alignment horizontal="left" wrapText="1" readingOrder="1"/>
    </xf>
    <xf numFmtId="165" fontId="17" fillId="0" borderId="19" xfId="1" applyNumberFormat="1" applyFont="1" applyFill="1" applyBorder="1" applyAlignment="1">
      <alignment wrapText="1" readingOrder="1"/>
    </xf>
    <xf numFmtId="49" fontId="17" fillId="0" borderId="19" xfId="0" applyNumberFormat="1" applyFont="1" applyBorder="1" applyAlignment="1">
      <alignment horizontal="left" wrapText="1" readingOrder="1"/>
    </xf>
    <xf numFmtId="0" fontId="26" fillId="0" borderId="19" xfId="0" applyFont="1" applyBorder="1" applyAlignment="1">
      <alignment horizontal="left" readingOrder="1"/>
    </xf>
    <xf numFmtId="0" fontId="17" fillId="0" borderId="19" xfId="0" applyFont="1" applyBorder="1" applyAlignment="1">
      <alignment horizontal="left" vertical="top" wrapText="1" readingOrder="1"/>
    </xf>
    <xf numFmtId="165" fontId="22" fillId="0" borderId="19" xfId="1" applyNumberFormat="1" applyFont="1" applyBorder="1" applyAlignment="1"/>
    <xf numFmtId="3" fontId="15" fillId="0" borderId="0" xfId="0" applyNumberFormat="1" applyFont="1" applyAlignment="1">
      <alignment horizontal="left" vertical="top" wrapText="1"/>
    </xf>
    <xf numFmtId="0" fontId="42" fillId="27" borderId="1" xfId="0" applyFont="1" applyFill="1" applyBorder="1" applyAlignment="1">
      <alignment vertical="center"/>
    </xf>
    <xf numFmtId="0" fontId="42" fillId="0" borderId="0" xfId="0" applyFont="1"/>
    <xf numFmtId="0" fontId="42" fillId="27" borderId="20" xfId="0" applyFont="1" applyFill="1" applyBorder="1"/>
    <xf numFmtId="167" fontId="42" fillId="26" borderId="19" xfId="5" applyNumberFormat="1" applyFont="1" applyFill="1" applyBorder="1"/>
    <xf numFmtId="0" fontId="42" fillId="26" borderId="19" xfId="0" applyFont="1" applyFill="1" applyBorder="1"/>
    <xf numFmtId="167" fontId="42" fillId="25" borderId="19" xfId="5" applyNumberFormat="1" applyFont="1" applyFill="1" applyBorder="1"/>
    <xf numFmtId="0" fontId="42" fillId="25" borderId="19" xfId="0" applyFont="1" applyFill="1" applyBorder="1"/>
    <xf numFmtId="167" fontId="42" fillId="24" borderId="19" xfId="5" applyNumberFormat="1" applyFont="1" applyFill="1" applyBorder="1"/>
    <xf numFmtId="0" fontId="42" fillId="24" borderId="19" xfId="0" applyFont="1" applyFill="1" applyBorder="1"/>
    <xf numFmtId="0" fontId="43" fillId="0" borderId="0" xfId="0" applyFont="1"/>
    <xf numFmtId="0" fontId="43" fillId="27" borderId="20" xfId="0" applyFont="1" applyFill="1" applyBorder="1"/>
    <xf numFmtId="167" fontId="43" fillId="26" borderId="19" xfId="5" applyNumberFormat="1" applyFont="1" applyFill="1" applyBorder="1"/>
    <xf numFmtId="167" fontId="43" fillId="26" borderId="19" xfId="0" applyNumberFormat="1" applyFont="1" applyFill="1" applyBorder="1"/>
    <xf numFmtId="165" fontId="43" fillId="25" borderId="19" xfId="1" applyNumberFormat="1" applyFont="1" applyFill="1" applyBorder="1"/>
    <xf numFmtId="165" fontId="43" fillId="24" borderId="19" xfId="0" applyNumberFormat="1" applyFont="1" applyFill="1" applyBorder="1"/>
    <xf numFmtId="0" fontId="43" fillId="25" borderId="19" xfId="0" applyFont="1" applyFill="1" applyBorder="1"/>
    <xf numFmtId="165" fontId="42" fillId="25" borderId="19" xfId="1" applyNumberFormat="1" applyFont="1" applyFill="1" applyBorder="1"/>
    <xf numFmtId="165" fontId="42" fillId="24" borderId="19" xfId="1" applyNumberFormat="1" applyFont="1" applyFill="1" applyBorder="1"/>
    <xf numFmtId="167" fontId="43" fillId="0" borderId="0" xfId="5" applyNumberFormat="1" applyFont="1"/>
    <xf numFmtId="165" fontId="43" fillId="0" borderId="0" xfId="1" applyNumberFormat="1" applyFont="1"/>
    <xf numFmtId="165" fontId="21" fillId="0" borderId="0" xfId="5" applyNumberFormat="1" applyFont="1"/>
    <xf numFmtId="165" fontId="26" fillId="2" borderId="19" xfId="5" applyNumberFormat="1" applyFont="1" applyFill="1" applyBorder="1" applyAlignment="1">
      <alignment horizontal="right"/>
    </xf>
    <xf numFmtId="0" fontId="22" fillId="0" borderId="0" xfId="0" applyFont="1" applyAlignment="1">
      <alignment vertical="top"/>
    </xf>
    <xf numFmtId="165" fontId="21" fillId="0" borderId="0" xfId="5" applyNumberFormat="1" applyFont="1" applyFill="1" applyAlignment="1">
      <alignment horizontal="right"/>
    </xf>
    <xf numFmtId="0" fontId="17" fillId="2" borderId="0" xfId="0" applyFont="1" applyFill="1" applyAlignment="1">
      <alignment wrapText="1"/>
    </xf>
    <xf numFmtId="0" fontId="26" fillId="0" borderId="19" xfId="0" applyFont="1" applyBorder="1"/>
    <xf numFmtId="0" fontId="17" fillId="2" borderId="19" xfId="0" applyFont="1" applyFill="1" applyBorder="1" applyAlignment="1">
      <alignment wrapText="1"/>
    </xf>
    <xf numFmtId="0" fontId="17" fillId="2" borderId="19" xfId="0" applyFont="1" applyFill="1" applyBorder="1"/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horizontal="left" vertical="top"/>
    </xf>
    <xf numFmtId="167" fontId="21" fillId="0" borderId="0" xfId="5" applyNumberFormat="1" applyFont="1" applyAlignment="1">
      <alignment horizontal="right" vertical="top"/>
    </xf>
    <xf numFmtId="0" fontId="26" fillId="0" borderId="19" xfId="0" applyFont="1" applyBorder="1" applyAlignment="1">
      <alignment horizontal="right" vertical="top"/>
    </xf>
    <xf numFmtId="0" fontId="22" fillId="0" borderId="0" xfId="0" applyFont="1" applyAlignment="1">
      <alignment horizontal="left" vertical="top"/>
    </xf>
    <xf numFmtId="172" fontId="21" fillId="0" borderId="0" xfId="0" applyNumberFormat="1" applyFont="1" applyAlignment="1">
      <alignment horizontal="left" vertical="top"/>
    </xf>
    <xf numFmtId="0" fontId="21" fillId="0" borderId="0" xfId="0" applyFont="1" applyAlignment="1">
      <alignment horizontal="left" vertical="top" wrapText="1"/>
    </xf>
    <xf numFmtId="0" fontId="22" fillId="0" borderId="19" xfId="0" applyFont="1" applyBorder="1" applyAlignment="1">
      <alignment horizontal="left" vertical="top"/>
    </xf>
    <xf numFmtId="167" fontId="21" fillId="0" borderId="0" xfId="5" applyNumberFormat="1" applyFont="1" applyAlignment="1">
      <alignment horizontal="left" vertical="top"/>
    </xf>
    <xf numFmtId="167" fontId="21" fillId="0" borderId="0" xfId="0" applyNumberFormat="1" applyFont="1" applyAlignment="1">
      <alignment horizontal="left" vertical="top"/>
    </xf>
    <xf numFmtId="43" fontId="21" fillId="0" borderId="0" xfId="5" applyFont="1" applyAlignment="1">
      <alignment horizontal="left" vertical="top"/>
    </xf>
    <xf numFmtId="165" fontId="22" fillId="14" borderId="19" xfId="1" applyNumberFormat="1" applyFont="1" applyFill="1" applyBorder="1" applyAlignment="1">
      <alignment horizontal="center" vertical="top" wrapText="1"/>
    </xf>
    <xf numFmtId="0" fontId="22" fillId="14" borderId="19" xfId="0" applyFont="1" applyFill="1" applyBorder="1" applyAlignment="1">
      <alignment horizontal="center" vertical="top" wrapText="1"/>
    </xf>
    <xf numFmtId="0" fontId="21" fillId="2" borderId="19" xfId="0" applyFont="1" applyFill="1" applyBorder="1" applyAlignment="1">
      <alignment horizontal="left" vertical="top"/>
    </xf>
    <xf numFmtId="0" fontId="22" fillId="2" borderId="19" xfId="0" applyFont="1" applyFill="1" applyBorder="1" applyAlignment="1">
      <alignment horizontal="left" vertical="top"/>
    </xf>
    <xf numFmtId="165" fontId="26" fillId="2" borderId="19" xfId="1" applyNumberFormat="1" applyFont="1" applyFill="1" applyBorder="1" applyAlignment="1">
      <alignment horizontal="right" vertical="top"/>
    </xf>
    <xf numFmtId="165" fontId="17" fillId="2" borderId="19" xfId="1" applyNumberFormat="1" applyFont="1" applyFill="1" applyBorder="1" applyAlignment="1">
      <alignment horizontal="right" vertical="top"/>
    </xf>
    <xf numFmtId="3" fontId="17" fillId="2" borderId="19" xfId="0" applyNumberFormat="1" applyFont="1" applyFill="1" applyBorder="1" applyAlignment="1">
      <alignment horizontal="right" vertical="top"/>
    </xf>
    <xf numFmtId="3" fontId="26" fillId="2" borderId="19" xfId="0" applyNumberFormat="1" applyFont="1" applyFill="1" applyBorder="1" applyAlignment="1">
      <alignment horizontal="right" vertical="top"/>
    </xf>
    <xf numFmtId="0" fontId="21" fillId="2" borderId="19" xfId="0" applyFont="1" applyFill="1" applyBorder="1" applyAlignment="1">
      <alignment horizontal="left" vertical="top" wrapText="1"/>
    </xf>
    <xf numFmtId="165" fontId="21" fillId="0" borderId="19" xfId="1" applyNumberFormat="1" applyFont="1" applyBorder="1" applyAlignment="1">
      <alignment horizontal="right" vertical="top"/>
    </xf>
    <xf numFmtId="0" fontId="17" fillId="2" borderId="19" xfId="0" applyFont="1" applyFill="1" applyBorder="1" applyAlignment="1">
      <alignment horizontal="left" vertical="top"/>
    </xf>
    <xf numFmtId="0" fontId="17" fillId="2" borderId="19" xfId="0" applyFont="1" applyFill="1" applyBorder="1" applyAlignment="1">
      <alignment vertical="top"/>
    </xf>
    <xf numFmtId="0" fontId="21" fillId="2" borderId="19" xfId="0" applyFont="1" applyFill="1" applyBorder="1" applyAlignment="1">
      <alignment horizontal="left" vertical="center"/>
    </xf>
    <xf numFmtId="0" fontId="30" fillId="2" borderId="20" xfId="0" applyFont="1" applyFill="1" applyBorder="1" applyAlignment="1" applyProtection="1">
      <alignment horizontal="left" vertical="top" wrapText="1"/>
      <protection locked="0"/>
    </xf>
    <xf numFmtId="165" fontId="26" fillId="2" borderId="19" xfId="0" applyNumberFormat="1" applyFont="1" applyFill="1" applyBorder="1" applyAlignment="1">
      <alignment horizontal="right" vertical="top"/>
    </xf>
    <xf numFmtId="165" fontId="22" fillId="2" borderId="19" xfId="0" applyNumberFormat="1" applyFont="1" applyFill="1" applyBorder="1" applyAlignment="1">
      <alignment horizontal="right" vertical="top"/>
    </xf>
    <xf numFmtId="0" fontId="22" fillId="2" borderId="0" xfId="0" applyFont="1" applyFill="1" applyAlignment="1">
      <alignment horizontal="left" vertical="top" wrapText="1"/>
    </xf>
    <xf numFmtId="165" fontId="22" fillId="2" borderId="0" xfId="0" applyNumberFormat="1" applyFont="1" applyFill="1" applyAlignment="1">
      <alignment horizontal="right" vertical="top"/>
    </xf>
    <xf numFmtId="165" fontId="26" fillId="2" borderId="23" xfId="1" applyNumberFormat="1" applyFont="1" applyFill="1" applyBorder="1" applyAlignment="1">
      <alignment horizontal="right" vertical="top"/>
    </xf>
    <xf numFmtId="165" fontId="21" fillId="2" borderId="19" xfId="1" applyNumberFormat="1" applyFont="1" applyFill="1" applyBorder="1" applyAlignment="1">
      <alignment horizontal="right" vertical="top"/>
    </xf>
    <xf numFmtId="0" fontId="21" fillId="2" borderId="4" xfId="0" applyFont="1" applyFill="1" applyBorder="1" applyAlignment="1">
      <alignment horizontal="left" vertical="top"/>
    </xf>
    <xf numFmtId="165" fontId="26" fillId="2" borderId="2" xfId="1" applyNumberFormat="1" applyFont="1" applyFill="1" applyBorder="1" applyAlignment="1">
      <alignment horizontal="right" vertical="top"/>
    </xf>
    <xf numFmtId="167" fontId="43" fillId="0" borderId="0" xfId="0" applyNumberFormat="1" applyFont="1"/>
    <xf numFmtId="167" fontId="43" fillId="12" borderId="0" xfId="0" applyNumberFormat="1" applyFont="1" applyFill="1"/>
    <xf numFmtId="165" fontId="43" fillId="31" borderId="19" xfId="0" applyNumberFormat="1" applyFont="1" applyFill="1" applyBorder="1"/>
    <xf numFmtId="164" fontId="10" fillId="0" borderId="19" xfId="1" applyFont="1" applyFill="1" applyBorder="1"/>
    <xf numFmtId="165" fontId="2" fillId="0" borderId="19" xfId="1" applyNumberFormat="1" applyFont="1" applyFill="1" applyBorder="1"/>
    <xf numFmtId="0" fontId="12" fillId="0" borderId="19" xfId="0" applyFont="1" applyBorder="1" applyAlignment="1">
      <alignment horizontal="left"/>
    </xf>
    <xf numFmtId="0" fontId="12" fillId="0" borderId="19" xfId="0" applyFont="1" applyBorder="1"/>
    <xf numFmtId="165" fontId="3" fillId="0" borderId="0" xfId="1" applyNumberFormat="1" applyFont="1"/>
    <xf numFmtId="165" fontId="43" fillId="0" borderId="0" xfId="0" applyNumberFormat="1" applyFont="1"/>
    <xf numFmtId="165" fontId="17" fillId="10" borderId="19" xfId="1" applyNumberFormat="1" applyFont="1" applyFill="1" applyBorder="1" applyAlignment="1">
      <alignment wrapText="1" readingOrder="1"/>
    </xf>
    <xf numFmtId="165" fontId="21" fillId="10" borderId="19" xfId="1" applyNumberFormat="1" applyFont="1" applyFill="1" applyBorder="1" applyAlignment="1">
      <alignment horizontal="right" vertical="top"/>
    </xf>
    <xf numFmtId="165" fontId="43" fillId="10" borderId="19" xfId="0" applyNumberFormat="1" applyFont="1" applyFill="1" applyBorder="1"/>
    <xf numFmtId="165" fontId="17" fillId="10" borderId="19" xfId="1" applyNumberFormat="1" applyFont="1" applyFill="1" applyBorder="1" applyAlignment="1">
      <alignment horizontal="right" vertical="top"/>
    </xf>
    <xf numFmtId="43" fontId="43" fillId="0" borderId="0" xfId="0" applyNumberFormat="1" applyFont="1"/>
    <xf numFmtId="165" fontId="43" fillId="10" borderId="0" xfId="1" applyNumberFormat="1" applyFont="1" applyFill="1"/>
    <xf numFmtId="0" fontId="42" fillId="0" borderId="1" xfId="0" applyFont="1" applyBorder="1" applyAlignment="1">
      <alignment vertical="center"/>
    </xf>
    <xf numFmtId="0" fontId="42" fillId="0" borderId="20" xfId="0" applyFont="1" applyBorder="1"/>
    <xf numFmtId="0" fontId="43" fillId="0" borderId="20" xfId="0" applyFont="1" applyBorder="1"/>
    <xf numFmtId="165" fontId="43" fillId="0" borderId="19" xfId="1" applyNumberFormat="1" applyFont="1" applyFill="1" applyBorder="1"/>
    <xf numFmtId="0" fontId="43" fillId="0" borderId="19" xfId="0" applyFont="1" applyBorder="1"/>
    <xf numFmtId="165" fontId="42" fillId="0" borderId="19" xfId="1" applyNumberFormat="1" applyFont="1" applyFill="1" applyBorder="1"/>
    <xf numFmtId="165" fontId="43" fillId="0" borderId="0" xfId="1" applyNumberFormat="1" applyFont="1" applyFill="1"/>
    <xf numFmtId="0" fontId="42" fillId="0" borderId="20" xfId="0" applyFont="1" applyBorder="1" applyAlignment="1">
      <alignment wrapText="1"/>
    </xf>
    <xf numFmtId="167" fontId="42" fillId="0" borderId="19" xfId="5" applyNumberFormat="1" applyFont="1" applyFill="1" applyBorder="1" applyAlignment="1">
      <alignment wrapText="1"/>
    </xf>
    <xf numFmtId="0" fontId="42" fillId="0" borderId="19" xfId="0" applyFont="1" applyBorder="1" applyAlignment="1">
      <alignment wrapText="1"/>
    </xf>
    <xf numFmtId="0" fontId="43" fillId="0" borderId="0" xfId="0" applyFont="1" applyAlignment="1">
      <alignment wrapText="1"/>
    </xf>
    <xf numFmtId="165" fontId="42" fillId="0" borderId="1" xfId="1" applyNumberFormat="1" applyFont="1" applyFill="1" applyBorder="1" applyAlignment="1">
      <alignment vertical="center"/>
    </xf>
    <xf numFmtId="165" fontId="42" fillId="0" borderId="20" xfId="1" applyNumberFormat="1" applyFont="1" applyFill="1" applyBorder="1" applyAlignment="1">
      <alignment wrapText="1"/>
    </xf>
    <xf numFmtId="165" fontId="43" fillId="0" borderId="20" xfId="1" applyNumberFormat="1" applyFont="1" applyFill="1" applyBorder="1"/>
    <xf numFmtId="165" fontId="42" fillId="0" borderId="20" xfId="1" applyNumberFormat="1" applyFont="1" applyFill="1" applyBorder="1"/>
    <xf numFmtId="0" fontId="24" fillId="0" borderId="19" xfId="0" applyFont="1" applyBorder="1" applyAlignment="1">
      <alignment wrapText="1"/>
    </xf>
    <xf numFmtId="0" fontId="23" fillId="0" borderId="19" xfId="0" applyFont="1" applyBorder="1" applyAlignment="1">
      <alignment wrapText="1"/>
    </xf>
    <xf numFmtId="0" fontId="23" fillId="0" borderId="19" xfId="0" applyFont="1" applyBorder="1"/>
    <xf numFmtId="167" fontId="23" fillId="0" borderId="19" xfId="5" applyNumberFormat="1" applyFont="1" applyBorder="1"/>
    <xf numFmtId="0" fontId="38" fillId="0" borderId="19" xfId="0" applyFont="1" applyBorder="1" applyAlignment="1">
      <alignment vertical="center" wrapText="1"/>
    </xf>
    <xf numFmtId="167" fontId="38" fillId="0" borderId="19" xfId="5" applyNumberFormat="1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167" fontId="32" fillId="0" borderId="21" xfId="5" applyNumberFormat="1" applyFont="1" applyBorder="1" applyAlignment="1">
      <alignment vertical="center" wrapText="1"/>
    </xf>
    <xf numFmtId="167" fontId="46" fillId="0" borderId="21" xfId="5" applyNumberFormat="1" applyFont="1" applyBorder="1" applyAlignment="1">
      <alignment vertical="center" wrapText="1"/>
    </xf>
    <xf numFmtId="167" fontId="46" fillId="0" borderId="19" xfId="5" applyNumberFormat="1" applyFont="1" applyBorder="1" applyAlignment="1">
      <alignment vertical="center" wrapText="1"/>
    </xf>
    <xf numFmtId="0" fontId="47" fillId="0" borderId="19" xfId="0" applyFont="1" applyBorder="1" applyAlignment="1">
      <alignment horizontal="left" vertical="top" wrapText="1"/>
    </xf>
    <xf numFmtId="167" fontId="38" fillId="0" borderId="21" xfId="5" applyNumberFormat="1" applyFont="1" applyFill="1" applyBorder="1" applyAlignment="1">
      <alignment vertical="center" wrapText="1"/>
    </xf>
    <xf numFmtId="167" fontId="24" fillId="0" borderId="21" xfId="5" applyNumberFormat="1" applyFont="1" applyBorder="1"/>
    <xf numFmtId="167" fontId="24" fillId="0" borderId="19" xfId="5" applyNumberFormat="1" applyFont="1" applyBorder="1"/>
    <xf numFmtId="9" fontId="43" fillId="0" borderId="0" xfId="2" applyFont="1" applyFill="1"/>
    <xf numFmtId="165" fontId="43" fillId="0" borderId="20" xfId="0" applyNumberFormat="1" applyFont="1" applyBorder="1"/>
    <xf numFmtId="0" fontId="32" fillId="0" borderId="19" xfId="0" applyFont="1" applyBorder="1" applyAlignment="1">
      <alignment vertical="center" wrapText="1"/>
    </xf>
    <xf numFmtId="167" fontId="32" fillId="0" borderId="19" xfId="5" applyNumberFormat="1" applyFont="1" applyBorder="1" applyAlignment="1">
      <alignment vertical="center" wrapText="1"/>
    </xf>
    <xf numFmtId="167" fontId="23" fillId="0" borderId="19" xfId="0" applyNumberFormat="1" applyFont="1" applyBorder="1"/>
    <xf numFmtId="0" fontId="38" fillId="0" borderId="19" xfId="0" applyFont="1" applyBorder="1" applyAlignment="1">
      <alignment horizontal="left" vertical="top"/>
    </xf>
    <xf numFmtId="0" fontId="36" fillId="0" borderId="19" xfId="0" applyFont="1" applyBorder="1" applyAlignment="1">
      <alignment horizontal="left" vertical="top"/>
    </xf>
    <xf numFmtId="167" fontId="23" fillId="0" borderId="3" xfId="0" applyNumberFormat="1" applyFont="1" applyBorder="1"/>
    <xf numFmtId="167" fontId="23" fillId="32" borderId="19" xfId="0" applyNumberFormat="1" applyFont="1" applyFill="1" applyBorder="1"/>
    <xf numFmtId="4" fontId="26" fillId="0" borderId="0" xfId="0" applyNumberFormat="1" applyFont="1" applyAlignment="1">
      <alignment vertical="center"/>
    </xf>
    <xf numFmtId="43" fontId="17" fillId="0" borderId="19" xfId="5" applyFont="1" applyFill="1" applyBorder="1"/>
    <xf numFmtId="0" fontId="26" fillId="8" borderId="19" xfId="0" applyFont="1" applyFill="1" applyBorder="1" applyAlignment="1">
      <alignment horizontal="right" vertical="top"/>
    </xf>
    <xf numFmtId="0" fontId="26" fillId="8" borderId="19" xfId="0" applyFont="1" applyFill="1" applyBorder="1" applyAlignment="1">
      <alignment vertical="top"/>
    </xf>
    <xf numFmtId="0" fontId="26" fillId="8" borderId="19" xfId="0" applyFont="1" applyFill="1" applyBorder="1" applyAlignment="1">
      <alignment vertical="top" wrapText="1"/>
    </xf>
    <xf numFmtId="43" fontId="17" fillId="0" borderId="0" xfId="0" applyNumberFormat="1" applyFont="1"/>
    <xf numFmtId="0" fontId="26" fillId="0" borderId="19" xfId="0" applyFont="1" applyBorder="1" applyAlignment="1">
      <alignment vertical="top"/>
    </xf>
    <xf numFmtId="43" fontId="26" fillId="0" borderId="19" xfId="9" applyFont="1" applyFill="1" applyBorder="1" applyAlignment="1">
      <alignment vertical="top"/>
    </xf>
    <xf numFmtId="0" fontId="17" fillId="0" borderId="19" xfId="0" applyFont="1" applyBorder="1" applyAlignment="1">
      <alignment horizontal="right" vertical="top"/>
    </xf>
    <xf numFmtId="0" fontId="17" fillId="0" borderId="19" xfId="0" applyFont="1" applyBorder="1" applyAlignment="1">
      <alignment vertical="top"/>
    </xf>
    <xf numFmtId="43" fontId="17" fillId="0" borderId="19" xfId="9" applyFont="1" applyFill="1" applyBorder="1" applyAlignment="1">
      <alignment vertical="top"/>
    </xf>
    <xf numFmtId="167" fontId="17" fillId="0" borderId="19" xfId="0" applyNumberFormat="1" applyFont="1" applyBorder="1"/>
    <xf numFmtId="0" fontId="17" fillId="0" borderId="19" xfId="0" applyFont="1" applyBorder="1" applyAlignment="1">
      <alignment horizontal="right" wrapText="1" readingOrder="1"/>
    </xf>
    <xf numFmtId="0" fontId="17" fillId="0" borderId="19" xfId="0" applyFont="1" applyBorder="1" applyAlignment="1">
      <alignment readingOrder="1"/>
    </xf>
    <xf numFmtId="0" fontId="17" fillId="0" borderId="19" xfId="4" applyFont="1" applyBorder="1" applyAlignment="1">
      <alignment vertical="top"/>
    </xf>
    <xf numFmtId="0" fontId="17" fillId="0" borderId="19" xfId="4" applyFont="1" applyBorder="1" applyAlignment="1">
      <alignment horizontal="center" vertical="top" wrapText="1"/>
    </xf>
    <xf numFmtId="0" fontId="17" fillId="0" borderId="19" xfId="4" applyFont="1" applyBorder="1" applyAlignment="1">
      <alignment horizontal="right" vertical="top" wrapText="1"/>
    </xf>
    <xf numFmtId="167" fontId="26" fillId="0" borderId="19" xfId="0" applyNumberFormat="1" applyFont="1" applyBorder="1"/>
    <xf numFmtId="0" fontId="26" fillId="0" borderId="0" xfId="0" applyFont="1"/>
    <xf numFmtId="0" fontId="26" fillId="0" borderId="19" xfId="4" applyFont="1" applyBorder="1" applyAlignment="1">
      <alignment vertical="top"/>
    </xf>
    <xf numFmtId="43" fontId="17" fillId="0" borderId="19" xfId="9" applyFont="1" applyBorder="1"/>
    <xf numFmtId="43" fontId="17" fillId="0" borderId="19" xfId="5" applyFont="1" applyBorder="1" applyAlignment="1">
      <alignment horizontal="left" vertical="top" wrapText="1"/>
    </xf>
    <xf numFmtId="0" fontId="26" fillId="0" borderId="19" xfId="0" applyFont="1" applyBorder="1" applyAlignment="1">
      <alignment horizontal="right" vertical="top" wrapText="1"/>
    </xf>
    <xf numFmtId="43" fontId="17" fillId="8" borderId="19" xfId="9" applyFont="1" applyFill="1" applyBorder="1" applyAlignment="1">
      <alignment vertical="top" wrapText="1"/>
    </xf>
    <xf numFmtId="167" fontId="17" fillId="0" borderId="19" xfId="0" applyNumberFormat="1" applyFont="1" applyBorder="1" applyAlignment="1">
      <alignment vertical="top"/>
    </xf>
    <xf numFmtId="167" fontId="17" fillId="10" borderId="19" xfId="0" applyNumberFormat="1" applyFont="1" applyFill="1" applyBorder="1"/>
    <xf numFmtId="43" fontId="26" fillId="0" borderId="19" xfId="9" applyFont="1" applyFill="1" applyBorder="1" applyAlignment="1">
      <alignment vertical="top" wrapText="1"/>
    </xf>
    <xf numFmtId="43" fontId="26" fillId="0" borderId="19" xfId="9" applyFont="1" applyFill="1" applyBorder="1" applyAlignment="1"/>
    <xf numFmtId="0" fontId="26" fillId="3" borderId="19" xfId="0" applyFont="1" applyFill="1" applyBorder="1" applyAlignment="1">
      <alignment horizontal="right" vertical="top"/>
    </xf>
    <xf numFmtId="0" fontId="26" fillId="3" borderId="19" xfId="0" applyFont="1" applyFill="1" applyBorder="1" applyAlignment="1">
      <alignment vertical="top"/>
    </xf>
    <xf numFmtId="43" fontId="17" fillId="3" borderId="19" xfId="9" applyFont="1" applyFill="1" applyBorder="1" applyAlignment="1">
      <alignment vertical="top" wrapText="1"/>
    </xf>
    <xf numFmtId="43" fontId="26" fillId="0" borderId="19" xfId="9" applyFont="1" applyFill="1" applyBorder="1" applyAlignment="1">
      <alignment horizontal="left" vertical="center"/>
    </xf>
    <xf numFmtId="0" fontId="17" fillId="0" borderId="19" xfId="4" applyFont="1" applyBorder="1" applyAlignment="1">
      <alignment vertical="top" wrapText="1"/>
    </xf>
    <xf numFmtId="0" fontId="17" fillId="0" borderId="0" xfId="4" applyFont="1" applyAlignment="1">
      <alignment vertical="top" wrapText="1"/>
    </xf>
    <xf numFmtId="43" fontId="17" fillId="10" borderId="19" xfId="9" applyFont="1" applyFill="1" applyBorder="1" applyAlignment="1">
      <alignment vertical="top"/>
    </xf>
    <xf numFmtId="43" fontId="26" fillId="0" borderId="19" xfId="9" applyFont="1" applyFill="1" applyBorder="1" applyAlignment="1">
      <alignment horizontal="left" vertical="center" wrapText="1"/>
    </xf>
    <xf numFmtId="43" fontId="26" fillId="0" borderId="19" xfId="9" applyFont="1" applyBorder="1"/>
    <xf numFmtId="43" fontId="17" fillId="0" borderId="0" xfId="5" applyFont="1" applyFill="1"/>
    <xf numFmtId="0" fontId="14" fillId="0" borderId="0" xfId="0" applyFont="1" applyAlignment="1">
      <alignment horizontal="left"/>
    </xf>
    <xf numFmtId="0" fontId="14" fillId="0" borderId="0" xfId="0" applyFont="1"/>
    <xf numFmtId="0" fontId="26" fillId="15" borderId="19" xfId="0" applyFont="1" applyFill="1" applyBorder="1" applyAlignment="1">
      <alignment horizontal="left" wrapText="1" readingOrder="1"/>
    </xf>
    <xf numFmtId="165" fontId="26" fillId="15" borderId="19" xfId="0" applyNumberFormat="1" applyFont="1" applyFill="1" applyBorder="1" applyAlignment="1">
      <alignment wrapText="1"/>
    </xf>
    <xf numFmtId="165" fontId="26" fillId="0" borderId="19" xfId="0" applyNumberFormat="1" applyFont="1" applyBorder="1" applyAlignment="1">
      <alignment wrapText="1" readingOrder="1"/>
    </xf>
    <xf numFmtId="0" fontId="17" fillId="0" borderId="19" xfId="0" applyFont="1" applyBorder="1" applyAlignment="1">
      <alignment wrapText="1" readingOrder="1"/>
    </xf>
    <xf numFmtId="165" fontId="17" fillId="32" borderId="19" xfId="0" applyNumberFormat="1" applyFont="1" applyFill="1" applyBorder="1" applyAlignment="1">
      <alignment wrapText="1" readingOrder="1"/>
    </xf>
    <xf numFmtId="165" fontId="17" fillId="0" borderId="19" xfId="0" applyNumberFormat="1" applyFont="1" applyBorder="1" applyAlignment="1">
      <alignment wrapText="1" readingOrder="1"/>
    </xf>
    <xf numFmtId="165" fontId="17" fillId="2" borderId="19" xfId="0" applyNumberFormat="1" applyFont="1" applyFill="1" applyBorder="1" applyAlignment="1">
      <alignment wrapText="1" readingOrder="1"/>
    </xf>
    <xf numFmtId="0" fontId="26" fillId="0" borderId="19" xfId="0" applyFont="1" applyBorder="1" applyAlignment="1">
      <alignment wrapText="1" readingOrder="1"/>
    </xf>
    <xf numFmtId="0" fontId="15" fillId="0" borderId="19" xfId="0" applyFont="1" applyBorder="1" applyAlignment="1">
      <alignment horizontal="left" wrapText="1" readingOrder="1"/>
    </xf>
    <xf numFmtId="165" fontId="17" fillId="16" borderId="19" xfId="0" applyNumberFormat="1" applyFont="1" applyFill="1" applyBorder="1" applyAlignment="1">
      <alignment wrapText="1" readingOrder="1"/>
    </xf>
    <xf numFmtId="0" fontId="15" fillId="0" borderId="19" xfId="0" applyFont="1" applyBorder="1" applyAlignment="1">
      <alignment horizontal="left" wrapText="1"/>
    </xf>
    <xf numFmtId="3" fontId="15" fillId="0" borderId="19" xfId="0" applyNumberFormat="1" applyFont="1" applyBorder="1" applyAlignment="1">
      <alignment wrapText="1"/>
    </xf>
    <xf numFmtId="0" fontId="14" fillId="0" borderId="19" xfId="0" applyFont="1" applyBorder="1" applyAlignment="1">
      <alignment horizontal="left" wrapText="1"/>
    </xf>
    <xf numFmtId="3" fontId="14" fillId="0" borderId="19" xfId="0" applyNumberFormat="1" applyFont="1" applyBorder="1" applyAlignment="1">
      <alignment wrapText="1"/>
    </xf>
    <xf numFmtId="165" fontId="17" fillId="10" borderId="19" xfId="0" applyNumberFormat="1" applyFont="1" applyFill="1" applyBorder="1" applyAlignment="1">
      <alignment wrapText="1" readingOrder="1"/>
    </xf>
    <xf numFmtId="0" fontId="14" fillId="0" borderId="19" xfId="0" applyFont="1" applyBorder="1" applyAlignment="1">
      <alignment horizontal="left"/>
    </xf>
    <xf numFmtId="165" fontId="14" fillId="0" borderId="19" xfId="0" applyNumberFormat="1" applyFont="1" applyBorder="1"/>
    <xf numFmtId="0" fontId="26" fillId="17" borderId="19" xfId="0" applyFont="1" applyFill="1" applyBorder="1" applyAlignment="1">
      <alignment horizontal="left" wrapText="1" readingOrder="1"/>
    </xf>
    <xf numFmtId="165" fontId="26" fillId="18" borderId="19" xfId="0" applyNumberFormat="1" applyFont="1" applyFill="1" applyBorder="1" applyAlignment="1">
      <alignment wrapText="1"/>
    </xf>
    <xf numFmtId="166" fontId="21" fillId="0" borderId="19" xfId="0" applyNumberFormat="1" applyFont="1" applyBorder="1"/>
    <xf numFmtId="166" fontId="21" fillId="2" borderId="19" xfId="0" applyNumberFormat="1" applyFont="1" applyFill="1" applyBorder="1"/>
    <xf numFmtId="0" fontId="33" fillId="0" borderId="0" xfId="0" applyFont="1"/>
    <xf numFmtId="0" fontId="26" fillId="0" borderId="19" xfId="0" applyFont="1" applyBorder="1" applyAlignment="1">
      <alignment readingOrder="1"/>
    </xf>
    <xf numFmtId="0" fontId="26" fillId="0" borderId="19" xfId="0" applyFont="1" applyBorder="1" applyAlignment="1">
      <alignment horizontal="left" wrapText="1"/>
    </xf>
    <xf numFmtId="166" fontId="21" fillId="32" borderId="19" xfId="0" applyNumberFormat="1" applyFont="1" applyFill="1" applyBorder="1"/>
    <xf numFmtId="0" fontId="26" fillId="15" borderId="19" xfId="0" applyFont="1" applyFill="1" applyBorder="1"/>
    <xf numFmtId="3" fontId="26" fillId="0" borderId="19" xfId="0" applyNumberFormat="1" applyFont="1" applyBorder="1"/>
    <xf numFmtId="0" fontId="15" fillId="0" borderId="19" xfId="0" applyFont="1" applyBorder="1" applyAlignment="1">
      <alignment readingOrder="1"/>
    </xf>
    <xf numFmtId="0" fontId="15" fillId="0" borderId="19" xfId="0" applyFont="1" applyBorder="1"/>
    <xf numFmtId="0" fontId="14" fillId="0" borderId="19" xfId="0" applyFont="1" applyBorder="1"/>
    <xf numFmtId="0" fontId="26" fillId="17" borderId="19" xfId="0" applyFont="1" applyFill="1" applyBorder="1"/>
    <xf numFmtId="0" fontId="25" fillId="2" borderId="19" xfId="0" applyFont="1" applyFill="1" applyBorder="1" applyAlignment="1">
      <alignment readingOrder="1"/>
    </xf>
    <xf numFmtId="0" fontId="17" fillId="2" borderId="19" xfId="0" applyFont="1" applyFill="1" applyBorder="1" applyAlignment="1">
      <alignment readingOrder="1"/>
    </xf>
    <xf numFmtId="171" fontId="14" fillId="7" borderId="19" xfId="0" quotePrefix="1" applyNumberFormat="1" applyFont="1" applyFill="1" applyBorder="1" applyAlignment="1">
      <alignment horizontal="left" vertical="top"/>
    </xf>
    <xf numFmtId="171" fontId="15" fillId="7" borderId="19" xfId="0" quotePrefix="1" applyNumberFormat="1" applyFont="1" applyFill="1" applyBorder="1" applyAlignment="1">
      <alignment horizontal="left" vertical="top"/>
    </xf>
    <xf numFmtId="172" fontId="14" fillId="7" borderId="19" xfId="0" quotePrefix="1" applyNumberFormat="1" applyFont="1" applyFill="1" applyBorder="1" applyAlignment="1">
      <alignment horizontal="left" vertical="top"/>
    </xf>
    <xf numFmtId="172" fontId="15" fillId="7" borderId="19" xfId="0" quotePrefix="1" applyNumberFormat="1" applyFont="1" applyFill="1" applyBorder="1" applyAlignment="1">
      <alignment horizontal="left" vertical="top"/>
    </xf>
    <xf numFmtId="173" fontId="14" fillId="7" borderId="19" xfId="0" quotePrefix="1" applyNumberFormat="1" applyFont="1" applyFill="1" applyBorder="1" applyAlignment="1">
      <alignment horizontal="left" vertical="top"/>
    </xf>
    <xf numFmtId="174" fontId="14" fillId="7" borderId="2" xfId="0" quotePrefix="1" applyNumberFormat="1" applyFont="1" applyFill="1" applyBorder="1" applyAlignment="1">
      <alignment horizontal="left" vertical="top"/>
    </xf>
    <xf numFmtId="174" fontId="14" fillId="7" borderId="19" xfId="0" quotePrefix="1" applyNumberFormat="1" applyFont="1" applyFill="1" applyBorder="1" applyAlignment="1">
      <alignment horizontal="left" vertical="top"/>
    </xf>
    <xf numFmtId="0" fontId="15" fillId="0" borderId="19" xfId="4" applyFont="1" applyBorder="1" applyAlignment="1">
      <alignment vertical="top" wrapText="1" readingOrder="1"/>
    </xf>
    <xf numFmtId="0" fontId="26" fillId="28" borderId="2" xfId="0" applyFont="1" applyFill="1" applyBorder="1" applyAlignment="1">
      <alignment horizontal="left" vertical="top" wrapText="1" readingOrder="1"/>
    </xf>
    <xf numFmtId="0" fontId="26" fillId="28" borderId="2" xfId="0" applyFont="1" applyFill="1" applyBorder="1" applyAlignment="1">
      <alignment vertical="top" wrapText="1"/>
    </xf>
    <xf numFmtId="0" fontId="22" fillId="28" borderId="19" xfId="0" applyFont="1" applyFill="1" applyBorder="1" applyAlignment="1">
      <alignment wrapText="1" readingOrder="1"/>
    </xf>
    <xf numFmtId="0" fontId="26" fillId="0" borderId="21" xfId="0" applyFont="1" applyBorder="1" applyAlignment="1">
      <alignment vertical="top" wrapText="1"/>
    </xf>
    <xf numFmtId="0" fontId="17" fillId="0" borderId="23" xfId="0" applyFont="1" applyBorder="1" applyAlignment="1">
      <alignment horizontal="left" wrapText="1" readingOrder="1"/>
    </xf>
    <xf numFmtId="0" fontId="17" fillId="0" borderId="23" xfId="0" applyFont="1" applyBorder="1" applyAlignment="1">
      <alignment wrapText="1" readingOrder="1"/>
    </xf>
    <xf numFmtId="176" fontId="21" fillId="0" borderId="0" xfId="1" applyNumberFormat="1" applyFont="1" applyFill="1" applyAlignment="1">
      <alignment wrapText="1"/>
    </xf>
    <xf numFmtId="3" fontId="26" fillId="0" borderId="21" xfId="0" applyNumberFormat="1" applyFont="1" applyBorder="1" applyAlignment="1">
      <alignment wrapText="1"/>
    </xf>
    <xf numFmtId="0" fontId="26" fillId="0" borderId="21" xfId="0" applyFont="1" applyBorder="1" applyAlignment="1" applyProtection="1">
      <alignment vertical="top" wrapText="1"/>
      <protection locked="0"/>
    </xf>
    <xf numFmtId="0" fontId="17" fillId="0" borderId="21" xfId="0" applyFont="1" applyBorder="1" applyAlignment="1">
      <alignment wrapText="1" readingOrder="1"/>
    </xf>
    <xf numFmtId="0" fontId="26" fillId="0" borderId="21" xfId="0" applyFont="1" applyBorder="1" applyAlignment="1">
      <alignment wrapText="1" readingOrder="1"/>
    </xf>
    <xf numFmtId="165" fontId="26" fillId="0" borderId="19" xfId="1" applyNumberFormat="1" applyFont="1" applyFill="1" applyBorder="1" applyAlignment="1">
      <alignment wrapText="1" readingOrder="1"/>
    </xf>
    <xf numFmtId="0" fontId="26" fillId="2" borderId="0" xfId="0" applyFont="1" applyFill="1" applyAlignment="1">
      <alignment horizontal="left"/>
    </xf>
    <xf numFmtId="0" fontId="26" fillId="2" borderId="0" xfId="0" applyFont="1" applyFill="1" applyAlignment="1">
      <alignment horizontal="left" wrapText="1"/>
    </xf>
    <xf numFmtId="165" fontId="26" fillId="2" borderId="0" xfId="5" applyNumberFormat="1" applyFont="1" applyFill="1"/>
    <xf numFmtId="165" fontId="17" fillId="2" borderId="0" xfId="5" applyNumberFormat="1" applyFont="1" applyFill="1"/>
    <xf numFmtId="167" fontId="26" fillId="2" borderId="0" xfId="5" applyNumberFormat="1" applyFont="1" applyFill="1" applyAlignment="1">
      <alignment horizontal="left"/>
    </xf>
    <xf numFmtId="167" fontId="17" fillId="2" borderId="0" xfId="5" applyNumberFormat="1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26" fillId="2" borderId="19" xfId="0" applyFont="1" applyFill="1" applyBorder="1" applyAlignment="1">
      <alignment horizontal="left" wrapText="1"/>
    </xf>
    <xf numFmtId="0" fontId="26" fillId="2" borderId="20" xfId="0" applyFont="1" applyFill="1" applyBorder="1" applyAlignment="1">
      <alignment horizontal="left" wrapText="1"/>
    </xf>
    <xf numFmtId="165" fontId="26" fillId="2" borderId="19" xfId="5" applyNumberFormat="1" applyFont="1" applyFill="1" applyBorder="1" applyAlignment="1">
      <alignment wrapText="1"/>
    </xf>
    <xf numFmtId="165" fontId="17" fillId="2" borderId="0" xfId="0" applyNumberFormat="1" applyFont="1" applyFill="1" applyAlignment="1">
      <alignment horizontal="left"/>
    </xf>
    <xf numFmtId="0" fontId="17" fillId="2" borderId="19" xfId="0" applyFont="1" applyFill="1" applyBorder="1" applyAlignment="1">
      <alignment horizontal="left" wrapText="1"/>
    </xf>
    <xf numFmtId="0" fontId="17" fillId="2" borderId="20" xfId="0" applyFont="1" applyFill="1" applyBorder="1" applyAlignment="1">
      <alignment horizontal="left" vertical="center" wrapText="1"/>
    </xf>
    <xf numFmtId="165" fontId="17" fillId="2" borderId="19" xfId="5" applyNumberFormat="1" applyFont="1" applyFill="1" applyBorder="1" applyAlignment="1"/>
    <xf numFmtId="165" fontId="17" fillId="2" borderId="19" xfId="5" applyNumberFormat="1" applyFont="1" applyFill="1" applyBorder="1" applyAlignment="1">
      <alignment wrapText="1"/>
    </xf>
    <xf numFmtId="0" fontId="26" fillId="2" borderId="20" xfId="0" applyFont="1" applyFill="1" applyBorder="1" applyAlignment="1" applyProtection="1">
      <alignment horizontal="left" wrapText="1"/>
      <protection locked="0"/>
    </xf>
    <xf numFmtId="0" fontId="17" fillId="2" borderId="23" xfId="0" applyFont="1" applyFill="1" applyBorder="1" applyAlignment="1">
      <alignment horizontal="left" vertical="center" wrapText="1"/>
    </xf>
    <xf numFmtId="165" fontId="26" fillId="2" borderId="19" xfId="0" applyNumberFormat="1" applyFont="1" applyFill="1" applyBorder="1" applyAlignment="1">
      <alignment horizontal="left"/>
    </xf>
    <xf numFmtId="165" fontId="17" fillId="2" borderId="19" xfId="0" applyNumberFormat="1" applyFont="1" applyFill="1" applyBorder="1" applyAlignment="1">
      <alignment horizontal="left"/>
    </xf>
    <xf numFmtId="0" fontId="15" fillId="2" borderId="7" xfId="0" applyFont="1" applyFill="1" applyBorder="1" applyAlignment="1">
      <alignment vertical="top" wrapText="1" readingOrder="1"/>
    </xf>
    <xf numFmtId="0" fontId="15" fillId="2" borderId="24" xfId="0" applyFont="1" applyFill="1" applyBorder="1" applyAlignment="1">
      <alignment vertical="top" wrapText="1" readingOrder="1"/>
    </xf>
    <xf numFmtId="0" fontId="15" fillId="2" borderId="0" xfId="0" applyFont="1" applyFill="1" applyAlignment="1">
      <alignment vertical="top" wrapText="1" readingOrder="1"/>
    </xf>
    <xf numFmtId="0" fontId="26" fillId="2" borderId="19" xfId="0" applyFont="1" applyFill="1" applyBorder="1"/>
    <xf numFmtId="0" fontId="26" fillId="2" borderId="22" xfId="0" applyFont="1" applyFill="1" applyBorder="1" applyAlignment="1">
      <alignment wrapText="1"/>
    </xf>
    <xf numFmtId="0" fontId="17" fillId="2" borderId="22" xfId="0" applyFont="1" applyFill="1" applyBorder="1" applyAlignment="1">
      <alignment wrapText="1"/>
    </xf>
    <xf numFmtId="165" fontId="26" fillId="2" borderId="20" xfId="5" applyNumberFormat="1" applyFont="1" applyFill="1" applyBorder="1" applyAlignment="1">
      <alignment vertical="top" wrapText="1"/>
    </xf>
    <xf numFmtId="165" fontId="37" fillId="2" borderId="19" xfId="5" applyNumberFormat="1" applyFont="1" applyFill="1" applyBorder="1" applyAlignment="1">
      <alignment vertical="top" wrapText="1"/>
    </xf>
    <xf numFmtId="0" fontId="17" fillId="2" borderId="20" xfId="0" applyFont="1" applyFill="1" applyBorder="1" applyAlignment="1">
      <alignment vertical="top" wrapText="1" readingOrder="1"/>
    </xf>
    <xf numFmtId="0" fontId="17" fillId="2" borderId="20" xfId="0" applyFont="1" applyFill="1" applyBorder="1" applyAlignment="1">
      <alignment wrapText="1"/>
    </xf>
    <xf numFmtId="0" fontId="15" fillId="2" borderId="8" xfId="0" applyFont="1" applyFill="1" applyBorder="1" applyAlignment="1">
      <alignment vertical="top" wrapText="1" readingOrder="1"/>
    </xf>
    <xf numFmtId="165" fontId="37" fillId="2" borderId="19" xfId="5" applyNumberFormat="1" applyFont="1" applyFill="1" applyBorder="1" applyAlignment="1">
      <alignment wrapText="1"/>
    </xf>
    <xf numFmtId="4" fontId="37" fillId="2" borderId="19" xfId="0" applyNumberFormat="1" applyFont="1" applyFill="1" applyBorder="1"/>
    <xf numFmtId="3" fontId="26" fillId="2" borderId="20" xfId="0" applyNumberFormat="1" applyFont="1" applyFill="1" applyBorder="1" applyAlignment="1">
      <alignment horizontal="left" wrapText="1"/>
    </xf>
    <xf numFmtId="165" fontId="26" fillId="2" borderId="19" xfId="5" applyNumberFormat="1" applyFont="1" applyFill="1" applyBorder="1"/>
    <xf numFmtId="0" fontId="26" fillId="2" borderId="20" xfId="0" applyFont="1" applyFill="1" applyBorder="1" applyAlignment="1">
      <alignment horizontal="left" vertical="top" wrapText="1"/>
    </xf>
    <xf numFmtId="165" fontId="48" fillId="2" borderId="19" xfId="5" applyNumberFormat="1" applyFont="1" applyFill="1" applyBorder="1" applyAlignment="1">
      <alignment vertical="top" wrapText="1"/>
    </xf>
    <xf numFmtId="165" fontId="26" fillId="2" borderId="19" xfId="0" applyNumberFormat="1" applyFont="1" applyFill="1" applyBorder="1" applyAlignment="1">
      <alignment horizontal="left" vertical="center"/>
    </xf>
    <xf numFmtId="165" fontId="26" fillId="2" borderId="19" xfId="5" applyNumberFormat="1" applyFont="1" applyFill="1" applyBorder="1" applyAlignment="1">
      <alignment vertical="center" wrapText="1"/>
    </xf>
    <xf numFmtId="164" fontId="26" fillId="2" borderId="19" xfId="0" applyNumberFormat="1" applyFont="1" applyFill="1" applyBorder="1" applyAlignment="1">
      <alignment vertical="center" wrapText="1"/>
    </xf>
    <xf numFmtId="165" fontId="26" fillId="2" borderId="20" xfId="0" applyNumberFormat="1" applyFont="1" applyFill="1" applyBorder="1" applyAlignment="1">
      <alignment horizontal="left" wrapText="1"/>
    </xf>
    <xf numFmtId="165" fontId="48" fillId="2" borderId="19" xfId="5" applyNumberFormat="1" applyFont="1" applyFill="1" applyBorder="1" applyAlignment="1">
      <alignment wrapText="1"/>
    </xf>
    <xf numFmtId="167" fontId="21" fillId="2" borderId="0" xfId="5" applyNumberFormat="1" applyFont="1" applyFill="1" applyAlignment="1">
      <alignment horizontal="right"/>
    </xf>
    <xf numFmtId="165" fontId="48" fillId="2" borderId="19" xfId="5" applyNumberFormat="1" applyFont="1" applyFill="1" applyBorder="1"/>
    <xf numFmtId="165" fontId="48" fillId="2" borderId="19" xfId="5" applyNumberFormat="1" applyFont="1" applyFill="1" applyBorder="1" applyAlignment="1"/>
    <xf numFmtId="3" fontId="17" fillId="2" borderId="20" xfId="0" applyNumberFormat="1" applyFont="1" applyFill="1" applyBorder="1" applyAlignment="1">
      <alignment horizontal="left" wrapText="1"/>
    </xf>
    <xf numFmtId="165" fontId="17" fillId="2" borderId="20" xfId="5" applyNumberFormat="1" applyFont="1" applyFill="1" applyBorder="1" applyAlignment="1">
      <alignment vertical="top" wrapText="1"/>
    </xf>
    <xf numFmtId="165" fontId="17" fillId="2" borderId="19" xfId="5" applyNumberFormat="1" applyFont="1" applyFill="1" applyBorder="1"/>
    <xf numFmtId="3" fontId="26" fillId="2" borderId="19" xfId="0" applyNumberFormat="1" applyFont="1" applyFill="1" applyBorder="1" applyAlignment="1">
      <alignment horizontal="left" wrapText="1"/>
    </xf>
    <xf numFmtId="164" fontId="20" fillId="0" borderId="19" xfId="1" applyFont="1" applyBorder="1"/>
    <xf numFmtId="164" fontId="19" fillId="0" borderId="19" xfId="1" applyFont="1" applyBorder="1"/>
    <xf numFmtId="164" fontId="19" fillId="0" borderId="19" xfId="1" applyFont="1" applyBorder="1" applyAlignment="1">
      <alignment vertical="center"/>
    </xf>
    <xf numFmtId="0" fontId="17" fillId="2" borderId="21" xfId="0" applyFont="1" applyFill="1" applyBorder="1" applyAlignment="1">
      <alignment wrapText="1"/>
    </xf>
    <xf numFmtId="0" fontId="26" fillId="2" borderId="21" xfId="0" applyFont="1" applyFill="1" applyBorder="1" applyAlignment="1">
      <alignment wrapText="1"/>
    </xf>
    <xf numFmtId="0" fontId="26" fillId="2" borderId="19" xfId="0" applyFont="1" applyFill="1" applyBorder="1" applyAlignment="1">
      <alignment wrapText="1"/>
    </xf>
    <xf numFmtId="0" fontId="17" fillId="2" borderId="19" xfId="0" applyFont="1" applyFill="1" applyBorder="1" applyAlignment="1">
      <alignment vertical="top" wrapText="1"/>
    </xf>
    <xf numFmtId="3" fontId="49" fillId="0" borderId="19" xfId="0" applyNumberFormat="1" applyFont="1" applyBorder="1" applyAlignment="1">
      <alignment vertical="top"/>
    </xf>
    <xf numFmtId="164" fontId="20" fillId="0" borderId="19" xfId="1" applyFont="1" applyBorder="1" applyAlignment="1">
      <alignment vertical="center"/>
    </xf>
    <xf numFmtId="164" fontId="20" fillId="0" borderId="19" xfId="1" applyFont="1" applyBorder="1" applyAlignment="1">
      <alignment vertical="top"/>
    </xf>
    <xf numFmtId="43" fontId="26" fillId="2" borderId="19" xfId="5" applyFont="1" applyFill="1" applyBorder="1" applyAlignment="1">
      <alignment horizontal="left" wrapText="1"/>
    </xf>
    <xf numFmtId="43" fontId="17" fillId="2" borderId="19" xfId="5" applyFont="1" applyFill="1" applyBorder="1" applyAlignment="1">
      <alignment horizontal="left" wrapText="1"/>
    </xf>
    <xf numFmtId="0" fontId="17" fillId="2" borderId="19" xfId="0" applyFont="1" applyFill="1" applyBorder="1" applyAlignment="1">
      <alignment horizontal="left" vertical="center" wrapText="1"/>
    </xf>
    <xf numFmtId="0" fontId="17" fillId="2" borderId="19" xfId="4" applyFont="1" applyFill="1" applyBorder="1" applyAlignment="1">
      <alignment wrapText="1"/>
    </xf>
    <xf numFmtId="43" fontId="26" fillId="2" borderId="19" xfId="5" applyFont="1" applyFill="1" applyBorder="1" applyAlignment="1">
      <alignment horizontal="left" vertical="center" wrapText="1"/>
    </xf>
    <xf numFmtId="3" fontId="17" fillId="2" borderId="19" xfId="0" applyNumberFormat="1" applyFont="1" applyFill="1" applyBorder="1" applyAlignment="1">
      <alignment horizontal="left" wrapText="1"/>
    </xf>
    <xf numFmtId="165" fontId="26" fillId="2" borderId="19" xfId="7" applyNumberFormat="1" applyFont="1" applyFill="1" applyBorder="1" applyAlignment="1" applyProtection="1">
      <alignment wrapText="1"/>
    </xf>
    <xf numFmtId="0" fontId="17" fillId="2" borderId="19" xfId="0" applyFont="1" applyFill="1" applyBorder="1" applyAlignment="1">
      <alignment vertical="top" wrapText="1" readingOrder="1"/>
    </xf>
    <xf numFmtId="165" fontId="17" fillId="0" borderId="19" xfId="5" applyNumberFormat="1" applyFont="1" applyBorder="1" applyAlignment="1" applyProtection="1">
      <alignment wrapText="1"/>
    </xf>
    <xf numFmtId="164" fontId="21" fillId="0" borderId="19" xfId="1" applyFont="1" applyBorder="1" applyAlignment="1">
      <alignment vertical="center"/>
    </xf>
    <xf numFmtId="165" fontId="26" fillId="2" borderId="19" xfId="5" applyNumberFormat="1" applyFont="1" applyFill="1" applyBorder="1" applyAlignment="1">
      <alignment vertical="center"/>
    </xf>
    <xf numFmtId="165" fontId="26" fillId="2" borderId="19" xfId="5" applyNumberFormat="1" applyFont="1" applyFill="1" applyBorder="1" applyAlignment="1"/>
    <xf numFmtId="0" fontId="17" fillId="2" borderId="21" xfId="0" applyFont="1" applyFill="1" applyBorder="1" applyAlignment="1">
      <alignment horizontal="left" wrapText="1"/>
    </xf>
    <xf numFmtId="0" fontId="26" fillId="2" borderId="21" xfId="0" applyFont="1" applyFill="1" applyBorder="1" applyAlignment="1">
      <alignment horizontal="left" wrapText="1"/>
    </xf>
    <xf numFmtId="164" fontId="21" fillId="0" borderId="19" xfId="22" applyFont="1" applyFill="1" applyBorder="1"/>
    <xf numFmtId="164" fontId="21" fillId="0" borderId="19" xfId="22" applyFont="1" applyBorder="1"/>
    <xf numFmtId="164" fontId="22" fillId="0" borderId="19" xfId="22" applyFont="1" applyFill="1" applyBorder="1"/>
    <xf numFmtId="164" fontId="21" fillId="2" borderId="19" xfId="1" applyFont="1" applyFill="1" applyBorder="1" applyAlignment="1">
      <alignment vertical="center"/>
    </xf>
    <xf numFmtId="164" fontId="22" fillId="2" borderId="19" xfId="1" applyFont="1" applyFill="1" applyBorder="1" applyAlignment="1">
      <alignment vertical="center"/>
    </xf>
    <xf numFmtId="164" fontId="22" fillId="0" borderId="19" xfId="1" applyFont="1" applyBorder="1" applyAlignment="1"/>
    <xf numFmtId="164" fontId="26" fillId="2" borderId="19" xfId="0" applyNumberFormat="1" applyFont="1" applyFill="1" applyBorder="1" applyAlignment="1">
      <alignment wrapText="1"/>
    </xf>
    <xf numFmtId="165" fontId="50" fillId="2" borderId="19" xfId="5" applyNumberFormat="1" applyFont="1" applyFill="1" applyBorder="1" applyAlignment="1">
      <alignment vertical="top" wrapText="1"/>
    </xf>
    <xf numFmtId="164" fontId="50" fillId="2" borderId="19" xfId="0" applyNumberFormat="1" applyFont="1" applyFill="1" applyBorder="1" applyAlignment="1">
      <alignment vertical="top" wrapText="1"/>
    </xf>
    <xf numFmtId="43" fontId="21" fillId="0" borderId="19" xfId="5" applyFont="1" applyBorder="1"/>
    <xf numFmtId="0" fontId="17" fillId="2" borderId="20" xfId="0" applyFont="1" applyFill="1" applyBorder="1" applyAlignment="1">
      <alignment horizontal="left" vertical="top" wrapText="1"/>
    </xf>
    <xf numFmtId="165" fontId="21" fillId="0" borderId="19" xfId="1" applyNumberFormat="1" applyFont="1" applyBorder="1"/>
    <xf numFmtId="165" fontId="26" fillId="2" borderId="21" xfId="0" applyNumberFormat="1" applyFont="1" applyFill="1" applyBorder="1" applyAlignment="1">
      <alignment vertical="top" wrapText="1"/>
    </xf>
    <xf numFmtId="165" fontId="37" fillId="0" borderId="19" xfId="5" applyNumberFormat="1" applyFont="1" applyBorder="1" applyAlignment="1" applyProtection="1">
      <alignment wrapText="1"/>
    </xf>
    <xf numFmtId="165" fontId="48" fillId="2" borderId="19" xfId="5" applyNumberFormat="1" applyFont="1" applyFill="1" applyBorder="1" applyAlignment="1">
      <alignment vertical="center"/>
    </xf>
    <xf numFmtId="0" fontId="17" fillId="2" borderId="0" xfId="0" applyFont="1" applyFill="1" applyAlignment="1">
      <alignment horizontal="left" wrapText="1"/>
    </xf>
    <xf numFmtId="171" fontId="14" fillId="7" borderId="29" xfId="0" quotePrefix="1" applyNumberFormat="1" applyFont="1" applyFill="1" applyBorder="1" applyAlignment="1">
      <alignment horizontal="left"/>
    </xf>
    <xf numFmtId="170" fontId="14" fillId="19" borderId="19" xfId="0" quotePrefix="1" applyNumberFormat="1" applyFont="1" applyFill="1" applyBorder="1" applyAlignment="1">
      <alignment vertical="top" wrapText="1"/>
    </xf>
    <xf numFmtId="170" fontId="14" fillId="19" borderId="19" xfId="0" quotePrefix="1" applyNumberFormat="1" applyFont="1" applyFill="1" applyBorder="1" applyAlignment="1">
      <alignment horizontal="center"/>
    </xf>
    <xf numFmtId="0" fontId="14" fillId="19" borderId="19" xfId="0" quotePrefix="1" applyFont="1" applyFill="1" applyBorder="1" applyAlignment="1">
      <alignment vertical="top" wrapText="1"/>
    </xf>
    <xf numFmtId="170" fontId="14" fillId="19" borderId="19" xfId="0" quotePrefix="1" applyNumberFormat="1" applyFont="1" applyFill="1" applyBorder="1" applyAlignment="1">
      <alignment horizontal="center" vertical="top"/>
    </xf>
    <xf numFmtId="171" fontId="14" fillId="7" borderId="23" xfId="0" quotePrefix="1" applyNumberFormat="1" applyFont="1" applyFill="1" applyBorder="1" applyAlignment="1">
      <alignment horizontal="left"/>
    </xf>
    <xf numFmtId="172" fontId="14" fillId="7" borderId="23" xfId="0" applyNumberFormat="1" applyFont="1" applyFill="1" applyBorder="1" applyAlignment="1">
      <alignment horizontal="right"/>
    </xf>
    <xf numFmtId="171" fontId="15" fillId="7" borderId="19" xfId="0" quotePrefix="1" applyNumberFormat="1" applyFont="1" applyFill="1" applyBorder="1" applyAlignment="1">
      <alignment horizontal="left"/>
    </xf>
    <xf numFmtId="170" fontId="15" fillId="7" borderId="19" xfId="0" applyNumberFormat="1" applyFont="1" applyFill="1" applyBorder="1" applyAlignment="1">
      <alignment horizontal="right"/>
    </xf>
    <xf numFmtId="172" fontId="15" fillId="7" borderId="19" xfId="0" applyNumberFormat="1" applyFont="1" applyFill="1" applyBorder="1" applyAlignment="1">
      <alignment horizontal="right"/>
    </xf>
    <xf numFmtId="171" fontId="14" fillId="7" borderId="19" xfId="0" quotePrefix="1" applyNumberFormat="1" applyFont="1" applyFill="1" applyBorder="1" applyAlignment="1">
      <alignment horizontal="left"/>
    </xf>
    <xf numFmtId="172" fontId="14" fillId="7" borderId="19" xfId="0" applyNumberFormat="1" applyFont="1" applyFill="1" applyBorder="1" applyAlignment="1">
      <alignment horizontal="right"/>
    </xf>
    <xf numFmtId="170" fontId="15" fillId="31" borderId="19" xfId="0" applyNumberFormat="1" applyFont="1" applyFill="1" applyBorder="1" applyAlignment="1">
      <alignment horizontal="right"/>
    </xf>
    <xf numFmtId="171" fontId="14" fillId="7" borderId="30" xfId="0" quotePrefix="1" applyNumberFormat="1" applyFont="1" applyFill="1" applyBorder="1" applyAlignment="1">
      <alignment horizontal="left"/>
    </xf>
    <xf numFmtId="170" fontId="14" fillId="7" borderId="19" xfId="0" applyNumberFormat="1" applyFont="1" applyFill="1" applyBorder="1" applyAlignment="1">
      <alignment horizontal="right"/>
    </xf>
    <xf numFmtId="171" fontId="15" fillId="7" borderId="30" xfId="0" quotePrefix="1" applyNumberFormat="1" applyFont="1" applyFill="1" applyBorder="1" applyAlignment="1">
      <alignment horizontal="left"/>
    </xf>
    <xf numFmtId="171" fontId="15" fillId="29" borderId="19" xfId="0" quotePrefix="1" applyNumberFormat="1" applyFont="1" applyFill="1" applyBorder="1" applyAlignment="1">
      <alignment horizontal="left"/>
    </xf>
    <xf numFmtId="170" fontId="15" fillId="29" borderId="19" xfId="0" applyNumberFormat="1" applyFont="1" applyFill="1" applyBorder="1" applyAlignment="1">
      <alignment horizontal="right"/>
    </xf>
    <xf numFmtId="172" fontId="15" fillId="29" borderId="19" xfId="0" applyNumberFormat="1" applyFont="1" applyFill="1" applyBorder="1" applyAlignment="1">
      <alignment horizontal="right"/>
    </xf>
    <xf numFmtId="173" fontId="14" fillId="7" borderId="19" xfId="0" quotePrefix="1" applyNumberFormat="1" applyFont="1" applyFill="1" applyBorder="1" applyAlignment="1">
      <alignment horizontal="left"/>
    </xf>
    <xf numFmtId="175" fontId="14" fillId="7" borderId="19" xfId="0" quotePrefix="1" applyNumberFormat="1" applyFont="1" applyFill="1" applyBorder="1" applyAlignment="1">
      <alignment horizontal="left"/>
    </xf>
    <xf numFmtId="172" fontId="14" fillId="7" borderId="19" xfId="0" applyNumberFormat="1" applyFont="1" applyFill="1" applyBorder="1" applyAlignment="1">
      <alignment horizontal="right" vertical="top"/>
    </xf>
    <xf numFmtId="172" fontId="15" fillId="7" borderId="19" xfId="0" applyNumberFormat="1" applyFont="1" applyFill="1" applyBorder="1" applyAlignment="1">
      <alignment horizontal="right" vertical="top"/>
    </xf>
    <xf numFmtId="172" fontId="15" fillId="7" borderId="0" xfId="0" quotePrefix="1" applyNumberFormat="1" applyFont="1" applyFill="1" applyAlignment="1">
      <alignment horizontal="left" vertical="top"/>
    </xf>
    <xf numFmtId="172" fontId="14" fillId="7" borderId="29" xfId="0" quotePrefix="1" applyNumberFormat="1" applyFont="1" applyFill="1" applyBorder="1" applyAlignment="1">
      <alignment horizontal="left" vertical="top"/>
    </xf>
    <xf numFmtId="172" fontId="15" fillId="7" borderId="29" xfId="0" quotePrefix="1" applyNumberFormat="1" applyFont="1" applyFill="1" applyBorder="1" applyAlignment="1">
      <alignment horizontal="left" vertical="top"/>
    </xf>
    <xf numFmtId="172" fontId="15" fillId="10" borderId="19" xfId="0" applyNumberFormat="1" applyFont="1" applyFill="1" applyBorder="1" applyAlignment="1">
      <alignment horizontal="right" vertical="top"/>
    </xf>
    <xf numFmtId="174" fontId="14" fillId="7" borderId="19" xfId="0" quotePrefix="1" applyNumberFormat="1" applyFont="1" applyFill="1" applyBorder="1" applyAlignment="1">
      <alignment horizontal="right" vertical="top"/>
    </xf>
    <xf numFmtId="170" fontId="14" fillId="7" borderId="19" xfId="0" applyNumberFormat="1" applyFont="1" applyFill="1" applyBorder="1" applyAlignment="1">
      <alignment horizontal="right" vertical="top"/>
    </xf>
    <xf numFmtId="171" fontId="14" fillId="7" borderId="3" xfId="0" quotePrefix="1" applyNumberFormat="1" applyFont="1" applyFill="1" applyBorder="1" applyAlignment="1">
      <alignment horizontal="left"/>
    </xf>
    <xf numFmtId="170" fontId="14" fillId="7" borderId="3" xfId="0" applyNumberFormat="1" applyFont="1" applyFill="1" applyBorder="1" applyAlignment="1">
      <alignment horizontal="right"/>
    </xf>
    <xf numFmtId="165" fontId="14" fillId="2" borderId="23" xfId="1" quotePrefix="1" applyNumberFormat="1" applyFont="1" applyFill="1" applyBorder="1" applyAlignment="1">
      <alignment vertical="top" wrapText="1"/>
    </xf>
    <xf numFmtId="165" fontId="15" fillId="2" borderId="23" xfId="1" quotePrefix="1" applyNumberFormat="1" applyFont="1" applyFill="1" applyBorder="1" applyAlignment="1">
      <alignment vertical="top" wrapText="1"/>
    </xf>
    <xf numFmtId="165" fontId="15" fillId="2" borderId="23" xfId="1" quotePrefix="1" applyNumberFormat="1" applyFont="1" applyFill="1" applyBorder="1" applyAlignment="1">
      <alignment horizontal="center" vertical="top"/>
    </xf>
    <xf numFmtId="171" fontId="14" fillId="7" borderId="2" xfId="0" quotePrefix="1" applyNumberFormat="1" applyFont="1" applyFill="1" applyBorder="1" applyAlignment="1">
      <alignment horizontal="left"/>
    </xf>
    <xf numFmtId="170" fontId="14" fillId="7" borderId="2" xfId="0" applyNumberFormat="1" applyFont="1" applyFill="1" applyBorder="1" applyAlignment="1">
      <alignment horizontal="right"/>
    </xf>
    <xf numFmtId="170" fontId="15" fillId="30" borderId="19" xfId="0" applyNumberFormat="1" applyFont="1" applyFill="1" applyBorder="1" applyAlignment="1">
      <alignment horizontal="right"/>
    </xf>
    <xf numFmtId="171" fontId="14" fillId="7" borderId="31" xfId="0" quotePrefix="1" applyNumberFormat="1" applyFont="1" applyFill="1" applyBorder="1" applyAlignment="1">
      <alignment horizontal="left"/>
    </xf>
    <xf numFmtId="170" fontId="22" fillId="0" borderId="19" xfId="0" applyNumberFormat="1" applyFont="1" applyBorder="1"/>
    <xf numFmtId="172" fontId="21" fillId="0" borderId="0" xfId="0" applyNumberFormat="1" applyFont="1"/>
    <xf numFmtId="171" fontId="15" fillId="7" borderId="19" xfId="0" quotePrefix="1" applyNumberFormat="1" applyFont="1" applyFill="1" applyBorder="1" applyAlignment="1">
      <alignment horizontal="left" wrapText="1"/>
    </xf>
    <xf numFmtId="0" fontId="21" fillId="29" borderId="0" xfId="0" applyFont="1" applyFill="1"/>
    <xf numFmtId="170" fontId="21" fillId="0" borderId="0" xfId="0" applyNumberFormat="1" applyFont="1"/>
    <xf numFmtId="165" fontId="26" fillId="0" borderId="19" xfId="0" applyNumberFormat="1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165" fontId="17" fillId="0" borderId="19" xfId="1" applyNumberFormat="1" applyFont="1" applyBorder="1" applyAlignment="1">
      <alignment vertical="top" wrapText="1"/>
    </xf>
    <xf numFmtId="0" fontId="22" fillId="14" borderId="19" xfId="0" applyFont="1" applyFill="1" applyBorder="1" applyAlignment="1">
      <alignment horizontal="left" vertical="top"/>
    </xf>
    <xf numFmtId="0" fontId="26" fillId="2" borderId="19" xfId="0" applyFont="1" applyFill="1" applyBorder="1" applyAlignment="1">
      <alignment horizontal="left" vertical="top"/>
    </xf>
    <xf numFmtId="3" fontId="30" fillId="2" borderId="19" xfId="0" applyNumberFormat="1" applyFont="1" applyFill="1" applyBorder="1" applyAlignment="1">
      <alignment horizontal="left" vertical="top"/>
    </xf>
    <xf numFmtId="0" fontId="26" fillId="2" borderId="19" xfId="0" applyFont="1" applyFill="1" applyBorder="1" applyAlignment="1" applyProtection="1">
      <alignment horizontal="left" vertical="top"/>
      <protection locked="0"/>
    </xf>
    <xf numFmtId="0" fontId="17" fillId="2" borderId="19" xfId="0" applyFont="1" applyFill="1" applyBorder="1" applyAlignment="1" applyProtection="1">
      <alignment horizontal="left" vertical="top"/>
      <protection locked="0"/>
    </xf>
    <xf numFmtId="0" fontId="31" fillId="2" borderId="19" xfId="0" applyFont="1" applyFill="1" applyBorder="1" applyAlignment="1" applyProtection="1">
      <alignment horizontal="left" vertical="top"/>
      <protection locked="0"/>
    </xf>
    <xf numFmtId="0" fontId="30" fillId="2" borderId="19" xfId="0" applyFont="1" applyFill="1" applyBorder="1" applyAlignment="1" applyProtection="1">
      <alignment horizontal="left" vertical="top"/>
      <protection locked="0"/>
    </xf>
    <xf numFmtId="0" fontId="22" fillId="2" borderId="0" xfId="0" applyFont="1" applyFill="1" applyAlignment="1">
      <alignment horizontal="left" vertical="top"/>
    </xf>
    <xf numFmtId="0" fontId="31" fillId="2" borderId="19" xfId="0" applyFont="1" applyFill="1" applyBorder="1" applyAlignment="1" applyProtection="1">
      <alignment horizontal="left" vertical="top" readingOrder="1"/>
      <protection locked="0"/>
    </xf>
    <xf numFmtId="0" fontId="31" fillId="2" borderId="21" xfId="0" applyFont="1" applyFill="1" applyBorder="1" applyAlignment="1" applyProtection="1">
      <alignment horizontal="left" vertical="top"/>
      <protection locked="0"/>
    </xf>
    <xf numFmtId="0" fontId="30" fillId="2" borderId="21" xfId="0" applyFont="1" applyFill="1" applyBorder="1" applyAlignment="1" applyProtection="1">
      <alignment horizontal="left" vertical="top"/>
      <protection locked="0"/>
    </xf>
    <xf numFmtId="165" fontId="21" fillId="2" borderId="0" xfId="1" applyNumberFormat="1" applyFont="1" applyFill="1" applyAlignment="1"/>
    <xf numFmtId="165" fontId="26" fillId="0" borderId="14" xfId="1" applyNumberFormat="1" applyFont="1" applyFill="1" applyBorder="1" applyAlignment="1">
      <alignment vertical="top" wrapText="1"/>
    </xf>
    <xf numFmtId="165" fontId="26" fillId="0" borderId="15" xfId="1" applyNumberFormat="1" applyFont="1" applyFill="1" applyBorder="1" applyAlignment="1">
      <alignment vertical="top" wrapText="1"/>
    </xf>
    <xf numFmtId="0" fontId="22" fillId="2" borderId="19" xfId="0" applyFont="1" applyFill="1" applyBorder="1"/>
    <xf numFmtId="0" fontId="22" fillId="2" borderId="19" xfId="0" applyFont="1" applyFill="1" applyBorder="1" applyAlignment="1">
      <alignment horizontal="left"/>
    </xf>
    <xf numFmtId="165" fontId="21" fillId="0" borderId="0" xfId="1" applyNumberFormat="1" applyFont="1" applyAlignment="1"/>
    <xf numFmtId="165" fontId="21" fillId="0" borderId="19" xfId="1" applyNumberFormat="1" applyFont="1" applyBorder="1" applyAlignment="1"/>
    <xf numFmtId="0" fontId="22" fillId="0" borderId="19" xfId="0" applyFont="1" applyBorder="1" applyAlignment="1">
      <alignment horizontal="left"/>
    </xf>
    <xf numFmtId="0" fontId="14" fillId="11" borderId="13" xfId="0" applyFont="1" applyFill="1" applyBorder="1" applyAlignment="1">
      <alignment horizontal="left"/>
    </xf>
    <xf numFmtId="165" fontId="26" fillId="20" borderId="14" xfId="5" applyNumberFormat="1" applyFont="1" applyFill="1" applyBorder="1" applyAlignment="1">
      <alignment vertical="top" wrapText="1"/>
    </xf>
    <xf numFmtId="165" fontId="26" fillId="20" borderId="15" xfId="5" applyNumberFormat="1" applyFont="1" applyFill="1" applyBorder="1" applyAlignment="1">
      <alignment vertical="top" wrapText="1"/>
    </xf>
    <xf numFmtId="0" fontId="14" fillId="0" borderId="16" xfId="0" applyFont="1" applyBorder="1" applyAlignment="1">
      <alignment horizontal="left"/>
    </xf>
    <xf numFmtId="165" fontId="14" fillId="0" borderId="23" xfId="5" applyNumberFormat="1" applyFont="1" applyBorder="1" applyAlignment="1">
      <alignment wrapText="1"/>
    </xf>
    <xf numFmtId="165" fontId="14" fillId="0" borderId="17" xfId="5" applyNumberFormat="1" applyFont="1" applyBorder="1" applyAlignment="1">
      <alignment wrapText="1"/>
    </xf>
    <xf numFmtId="0" fontId="14" fillId="0" borderId="6" xfId="0" applyFont="1" applyBorder="1" applyAlignment="1">
      <alignment horizontal="left"/>
    </xf>
    <xf numFmtId="165" fontId="14" fillId="0" borderId="19" xfId="5" applyNumberFormat="1" applyFont="1" applyBorder="1"/>
    <xf numFmtId="165" fontId="14" fillId="0" borderId="18" xfId="5" applyNumberFormat="1" applyFont="1" applyBorder="1"/>
    <xf numFmtId="0" fontId="15" fillId="0" borderId="6" xfId="0" applyFont="1" applyBorder="1" applyAlignment="1">
      <alignment horizontal="left"/>
    </xf>
    <xf numFmtId="165" fontId="17" fillId="0" borderId="19" xfId="5" applyNumberFormat="1" applyFont="1" applyFill="1" applyBorder="1"/>
    <xf numFmtId="165" fontId="17" fillId="0" borderId="19" xfId="5" applyNumberFormat="1" applyFont="1" applyBorder="1"/>
    <xf numFmtId="165" fontId="17" fillId="0" borderId="18" xfId="5" applyNumberFormat="1" applyFont="1" applyBorder="1"/>
    <xf numFmtId="165" fontId="14" fillId="0" borderId="19" xfId="5" applyNumberFormat="1" applyFont="1" applyFill="1" applyBorder="1"/>
    <xf numFmtId="165" fontId="15" fillId="0" borderId="19" xfId="5" applyNumberFormat="1" applyFont="1" applyBorder="1"/>
    <xf numFmtId="165" fontId="15" fillId="0" borderId="18" xfId="5" applyNumberFormat="1" applyFont="1" applyBorder="1"/>
    <xf numFmtId="0" fontId="15" fillId="0" borderId="19" xfId="0" applyFont="1" applyBorder="1" applyAlignment="1">
      <alignment horizontal="left"/>
    </xf>
    <xf numFmtId="0" fontId="15" fillId="0" borderId="6" xfId="0" applyFont="1" applyBorder="1" applyAlignment="1">
      <alignment horizontal="left" wrapText="1" readingOrder="1"/>
    </xf>
    <xf numFmtId="165" fontId="15" fillId="0" borderId="19" xfId="5" applyNumberFormat="1" applyFont="1" applyFill="1" applyBorder="1"/>
    <xf numFmtId="165" fontId="15" fillId="10" borderId="19" xfId="5" applyNumberFormat="1" applyFont="1" applyFill="1" applyBorder="1"/>
    <xf numFmtId="165" fontId="14" fillId="0" borderId="19" xfId="5" applyNumberFormat="1" applyFont="1" applyBorder="1" applyAlignment="1">
      <alignment horizontal="right"/>
    </xf>
    <xf numFmtId="165" fontId="14" fillId="0" borderId="18" xfId="5" applyNumberFormat="1" applyFont="1" applyBorder="1" applyAlignment="1">
      <alignment horizontal="right"/>
    </xf>
    <xf numFmtId="165" fontId="14" fillId="0" borderId="25" xfId="5" applyNumberFormat="1" applyFont="1" applyBorder="1"/>
    <xf numFmtId="165" fontId="14" fillId="0" borderId="26" xfId="5" applyNumberFormat="1" applyFont="1" applyBorder="1"/>
    <xf numFmtId="165" fontId="15" fillId="0" borderId="23" xfId="5" applyNumberFormat="1" applyFont="1" applyBorder="1"/>
    <xf numFmtId="165" fontId="15" fillId="0" borderId="17" xfId="5" applyNumberFormat="1" applyFont="1" applyBorder="1"/>
    <xf numFmtId="165" fontId="14" fillId="0" borderId="19" xfId="5" applyNumberFormat="1" applyFont="1" applyFill="1" applyBorder="1" applyAlignment="1">
      <alignment wrapText="1"/>
    </xf>
    <xf numFmtId="165" fontId="14" fillId="0" borderId="19" xfId="5" applyNumberFormat="1" applyFont="1" applyBorder="1" applyAlignment="1">
      <alignment wrapText="1"/>
    </xf>
    <xf numFmtId="165" fontId="14" fillId="0" borderId="18" xfId="5" applyNumberFormat="1" applyFont="1" applyBorder="1" applyAlignment="1">
      <alignment wrapText="1"/>
    </xf>
    <xf numFmtId="0" fontId="14" fillId="0" borderId="27" xfId="0" applyFont="1" applyBorder="1" applyAlignment="1">
      <alignment horizontal="left"/>
    </xf>
    <xf numFmtId="165" fontId="14" fillId="0" borderId="3" xfId="5" applyNumberFormat="1" applyFont="1" applyBorder="1"/>
    <xf numFmtId="165" fontId="14" fillId="0" borderId="28" xfId="5" applyNumberFormat="1" applyFont="1" applyBorder="1"/>
    <xf numFmtId="0" fontId="14" fillId="0" borderId="13" xfId="0" applyFont="1" applyBorder="1" applyAlignment="1">
      <alignment horizontal="left"/>
    </xf>
    <xf numFmtId="165" fontId="14" fillId="0" borderId="14" xfId="5" applyNumberFormat="1" applyFont="1" applyBorder="1"/>
    <xf numFmtId="165" fontId="14" fillId="0" borderId="15" xfId="5" applyNumberFormat="1" applyFont="1" applyBorder="1"/>
    <xf numFmtId="171" fontId="14" fillId="7" borderId="19" xfId="0" quotePrefix="1" applyNumberFormat="1" applyFont="1" applyFill="1" applyBorder="1" applyAlignment="1">
      <alignment wrapText="1"/>
    </xf>
    <xf numFmtId="171" fontId="15" fillId="7" borderId="19" xfId="0" quotePrefix="1" applyNumberFormat="1" applyFont="1" applyFill="1" applyBorder="1" applyAlignment="1">
      <alignment wrapText="1"/>
    </xf>
    <xf numFmtId="172" fontId="14" fillId="0" borderId="19" xfId="0" applyNumberFormat="1" applyFont="1" applyBorder="1" applyAlignment="1">
      <alignment horizontal="right"/>
    </xf>
    <xf numFmtId="0" fontId="15" fillId="7" borderId="19" xfId="0" quotePrefix="1" applyFont="1" applyFill="1" applyBorder="1" applyAlignment="1">
      <alignment horizontal="left" wrapText="1"/>
    </xf>
    <xf numFmtId="0" fontId="14" fillId="7" borderId="19" xfId="0" quotePrefix="1" applyFont="1" applyFill="1" applyBorder="1" applyAlignment="1">
      <alignment horizontal="left" wrapText="1"/>
    </xf>
    <xf numFmtId="170" fontId="15" fillId="10" borderId="19" xfId="0" applyNumberFormat="1" applyFont="1" applyFill="1" applyBorder="1" applyAlignment="1">
      <alignment horizontal="right"/>
    </xf>
    <xf numFmtId="170" fontId="15" fillId="0" borderId="19" xfId="0" applyNumberFormat="1" applyFont="1" applyBorder="1" applyAlignment="1">
      <alignment horizontal="right"/>
    </xf>
    <xf numFmtId="172" fontId="14" fillId="7" borderId="19" xfId="0" quotePrefix="1" applyNumberFormat="1" applyFont="1" applyFill="1" applyBorder="1" applyAlignment="1">
      <alignment vertical="top" wrapText="1"/>
    </xf>
    <xf numFmtId="172" fontId="15" fillId="7" borderId="19" xfId="0" quotePrefix="1" applyNumberFormat="1" applyFont="1" applyFill="1" applyBorder="1" applyAlignment="1">
      <alignment vertical="top" wrapText="1"/>
    </xf>
    <xf numFmtId="173" fontId="14" fillId="7" borderId="19" xfId="0" quotePrefix="1" applyNumberFormat="1" applyFont="1" applyFill="1" applyBorder="1" applyAlignment="1">
      <alignment wrapText="1"/>
    </xf>
    <xf numFmtId="175" fontId="14" fillId="7" borderId="19" xfId="0" quotePrefix="1" applyNumberFormat="1" applyFont="1" applyFill="1" applyBorder="1" applyAlignment="1">
      <alignment wrapText="1"/>
    </xf>
    <xf numFmtId="174" fontId="14" fillId="7" borderId="19" xfId="0" quotePrefix="1" applyNumberFormat="1" applyFont="1" applyFill="1" applyBorder="1" applyAlignment="1">
      <alignment vertical="top" wrapText="1"/>
    </xf>
    <xf numFmtId="0" fontId="22" fillId="0" borderId="19" xfId="0" applyFont="1" applyBorder="1" applyAlignment="1">
      <alignment wrapText="1"/>
    </xf>
    <xf numFmtId="0" fontId="26" fillId="0" borderId="2" xfId="0" applyFont="1" applyBorder="1" applyAlignment="1">
      <alignment horizontal="left" vertical="top"/>
    </xf>
    <xf numFmtId="0" fontId="26" fillId="2" borderId="21" xfId="0" applyFont="1" applyFill="1" applyBorder="1" applyAlignment="1">
      <alignment horizontal="left" vertical="top"/>
    </xf>
    <xf numFmtId="0" fontId="17" fillId="2" borderId="23" xfId="0" applyFont="1" applyFill="1" applyBorder="1" applyAlignment="1">
      <alignment horizontal="left" readingOrder="1"/>
    </xf>
    <xf numFmtId="3" fontId="26" fillId="2" borderId="21" xfId="0" applyNumberFormat="1" applyFont="1" applyFill="1" applyBorder="1" applyAlignment="1">
      <alignment horizontal="left"/>
    </xf>
    <xf numFmtId="0" fontId="26" fillId="2" borderId="21" xfId="0" applyFont="1" applyFill="1" applyBorder="1" applyAlignment="1" applyProtection="1">
      <alignment horizontal="left" vertical="top"/>
      <protection locked="0"/>
    </xf>
    <xf numFmtId="0" fontId="15" fillId="2" borderId="19" xfId="0" applyFont="1" applyFill="1" applyBorder="1" applyAlignment="1">
      <alignment horizontal="left" vertical="top" readingOrder="1"/>
    </xf>
    <xf numFmtId="0" fontId="17" fillId="2" borderId="21" xfId="0" applyFont="1" applyFill="1" applyBorder="1" applyAlignment="1" applyProtection="1">
      <alignment horizontal="left" vertical="top"/>
      <protection locked="0"/>
    </xf>
    <xf numFmtId="0" fontId="17" fillId="2" borderId="22" xfId="0" applyFont="1" applyFill="1" applyBorder="1" applyAlignment="1">
      <alignment horizontal="left"/>
    </xf>
    <xf numFmtId="0" fontId="17" fillId="2" borderId="21" xfId="0" applyFont="1" applyFill="1" applyBorder="1" applyAlignment="1">
      <alignment horizontal="left" readingOrder="1"/>
    </xf>
    <xf numFmtId="0" fontId="17" fillId="2" borderId="19" xfId="0" applyFont="1" applyFill="1" applyBorder="1" applyAlignment="1" applyProtection="1">
      <alignment horizontal="left" vertical="top" readingOrder="1"/>
      <protection locked="0"/>
    </xf>
    <xf numFmtId="0" fontId="26" fillId="2" borderId="21" xfId="0" applyFont="1" applyFill="1" applyBorder="1" applyAlignment="1">
      <alignment horizontal="left" readingOrder="1"/>
    </xf>
    <xf numFmtId="0" fontId="15" fillId="2" borderId="19" xfId="6" applyFont="1" applyFill="1" applyBorder="1" applyAlignment="1">
      <alignment horizontal="left" vertical="top" readingOrder="1"/>
    </xf>
    <xf numFmtId="3" fontId="26" fillId="0" borderId="19" xfId="0" applyNumberFormat="1" applyFont="1" applyBorder="1" applyAlignment="1">
      <alignment horizontal="left"/>
    </xf>
    <xf numFmtId="0" fontId="26" fillId="0" borderId="19" xfId="0" applyFont="1" applyBorder="1" applyAlignment="1" applyProtection="1">
      <alignment horizontal="left" vertical="top"/>
      <protection locked="0"/>
    </xf>
    <xf numFmtId="0" fontId="15" fillId="0" borderId="19" xfId="0" applyFont="1" applyBorder="1" applyAlignment="1">
      <alignment horizontal="left" vertical="top" readingOrder="1"/>
    </xf>
    <xf numFmtId="0" fontId="15" fillId="0" borderId="19" xfId="6" applyFont="1" applyBorder="1" applyAlignment="1">
      <alignment horizontal="left" vertical="top" readingOrder="1"/>
    </xf>
    <xf numFmtId="0" fontId="17" fillId="0" borderId="19" xfId="0" applyFont="1" applyBorder="1" applyAlignment="1">
      <alignment horizontal="left" vertical="top" readingOrder="1"/>
    </xf>
    <xf numFmtId="3" fontId="17" fillId="0" borderId="19" xfId="0" applyNumberFormat="1" applyFont="1" applyBorder="1" applyAlignment="1">
      <alignment horizontal="left"/>
    </xf>
    <xf numFmtId="0" fontId="14" fillId="11" borderId="14" xfId="0" applyFont="1" applyFill="1" applyBorder="1" applyAlignment="1">
      <alignment horizontal="left"/>
    </xf>
    <xf numFmtId="0" fontId="14" fillId="0" borderId="23" xfId="0" applyFont="1" applyBorder="1" applyAlignment="1">
      <alignment horizontal="left"/>
    </xf>
    <xf numFmtId="3" fontId="15" fillId="0" borderId="19" xfId="0" applyNumberFormat="1" applyFont="1" applyBorder="1" applyAlignment="1">
      <alignment horizontal="left"/>
    </xf>
    <xf numFmtId="3" fontId="14" fillId="0" borderId="19" xfId="0" applyNumberFormat="1" applyFont="1" applyBorder="1" applyAlignment="1">
      <alignment horizontal="left"/>
    </xf>
    <xf numFmtId="0" fontId="15" fillId="0" borderId="19" xfId="0" applyFont="1" applyBorder="1" applyAlignment="1">
      <alignment horizontal="left" readingOrder="1"/>
    </xf>
    <xf numFmtId="165" fontId="14" fillId="0" borderId="19" xfId="0" applyNumberFormat="1" applyFont="1" applyBorder="1" applyAlignment="1">
      <alignment horizontal="left"/>
    </xf>
    <xf numFmtId="165" fontId="15" fillId="0" borderId="19" xfId="0" applyNumberFormat="1" applyFont="1" applyBorder="1" applyAlignment="1">
      <alignment horizontal="left"/>
    </xf>
    <xf numFmtId="0" fontId="15" fillId="21" borderId="19" xfId="0" applyFont="1" applyFill="1" applyBorder="1" applyAlignment="1">
      <alignment horizontal="left" readingOrder="1"/>
    </xf>
    <xf numFmtId="0" fontId="14" fillId="21" borderId="19" xfId="0" applyFont="1" applyFill="1" applyBorder="1" applyAlignment="1">
      <alignment horizontal="left"/>
    </xf>
    <xf numFmtId="3" fontId="14" fillId="0" borderId="2" xfId="0" applyNumberFormat="1" applyFont="1" applyBorder="1" applyAlignment="1">
      <alignment horizontal="left"/>
    </xf>
    <xf numFmtId="3" fontId="14" fillId="0" borderId="14" xfId="0" applyNumberFormat="1" applyFont="1" applyBorder="1" applyAlignment="1">
      <alignment horizontal="left"/>
    </xf>
    <xf numFmtId="0" fontId="22" fillId="6" borderId="19" xfId="0" applyFont="1" applyFill="1" applyBorder="1" applyAlignment="1">
      <alignment horizontal="center" vertical="top" wrapText="1"/>
    </xf>
    <xf numFmtId="165" fontId="26" fillId="22" borderId="19" xfId="0" applyNumberFormat="1" applyFont="1" applyFill="1" applyBorder="1" applyAlignment="1">
      <alignment horizontal="left" vertical="top" wrapText="1"/>
    </xf>
    <xf numFmtId="165" fontId="26" fillId="22" borderId="20" xfId="0" applyNumberFormat="1" applyFont="1" applyFill="1" applyBorder="1" applyAlignment="1">
      <alignment vertical="top" wrapText="1"/>
    </xf>
    <xf numFmtId="166" fontId="17" fillId="2" borderId="19" xfId="0" applyNumberFormat="1" applyFont="1" applyFill="1" applyBorder="1"/>
    <xf numFmtId="0" fontId="26" fillId="6" borderId="19" xfId="0" applyFont="1" applyFill="1" applyBorder="1" applyAlignment="1">
      <alignment horizontal="left" wrapText="1" readingOrder="1"/>
    </xf>
    <xf numFmtId="165" fontId="17" fillId="2" borderId="19" xfId="5" applyNumberFormat="1" applyFont="1" applyFill="1" applyBorder="1" applyAlignment="1">
      <alignment horizontal="right"/>
    </xf>
    <xf numFmtId="165" fontId="17" fillId="2" borderId="0" xfId="0" applyNumberFormat="1" applyFont="1" applyFill="1"/>
    <xf numFmtId="164" fontId="17" fillId="2" borderId="0" xfId="1" applyFont="1" applyFill="1" applyAlignment="1"/>
    <xf numFmtId="0" fontId="26" fillId="14" borderId="19" xfId="0" applyFont="1" applyFill="1" applyBorder="1" applyAlignment="1">
      <alignment horizontal="left" vertical="top"/>
    </xf>
    <xf numFmtId="167" fontId="26" fillId="0" borderId="19" xfId="1" applyNumberFormat="1" applyFont="1" applyFill="1" applyBorder="1" applyAlignment="1">
      <alignment horizontal="left"/>
    </xf>
    <xf numFmtId="167" fontId="17" fillId="0" borderId="19" xfId="1" applyNumberFormat="1" applyFont="1" applyFill="1" applyBorder="1" applyAlignment="1">
      <alignment horizontal="left"/>
    </xf>
    <xf numFmtId="43" fontId="17" fillId="0" borderId="19" xfId="0" applyNumberFormat="1" applyFont="1" applyBorder="1" applyAlignment="1">
      <alignment horizontal="left"/>
    </xf>
    <xf numFmtId="167" fontId="17" fillId="0" borderId="19" xfId="1" applyNumberFormat="1" applyFont="1" applyFill="1" applyBorder="1" applyAlignment="1" applyProtection="1">
      <alignment horizontal="left"/>
    </xf>
    <xf numFmtId="167" fontId="17" fillId="0" borderId="19" xfId="0" applyNumberFormat="1" applyFont="1" applyBorder="1" applyAlignment="1">
      <alignment horizontal="left"/>
    </xf>
    <xf numFmtId="43" fontId="26" fillId="0" borderId="19" xfId="0" applyNumberFormat="1" applyFont="1" applyBorder="1" applyAlignment="1">
      <alignment horizontal="left"/>
    </xf>
    <xf numFmtId="167" fontId="17" fillId="10" borderId="19" xfId="1" applyNumberFormat="1" applyFont="1" applyFill="1" applyBorder="1" applyAlignment="1">
      <alignment horizontal="left"/>
    </xf>
    <xf numFmtId="0" fontId="26" fillId="0" borderId="19" xfId="4" applyFont="1" applyBorder="1" applyAlignment="1">
      <alignment horizontal="left" vertical="top" wrapText="1"/>
    </xf>
    <xf numFmtId="167" fontId="17" fillId="31" borderId="19" xfId="1" applyNumberFormat="1" applyFont="1" applyFill="1" applyBorder="1" applyAlignment="1">
      <alignment horizontal="left"/>
    </xf>
    <xf numFmtId="165" fontId="26" fillId="14" borderId="19" xfId="1" applyNumberFormat="1" applyFont="1" applyFill="1" applyBorder="1" applyAlignment="1">
      <alignment horizontal="left" vertical="top" wrapText="1"/>
    </xf>
    <xf numFmtId="165" fontId="26" fillId="0" borderId="19" xfId="1" applyNumberFormat="1" applyFont="1" applyFill="1" applyBorder="1" applyAlignment="1">
      <alignment horizontal="left"/>
    </xf>
    <xf numFmtId="165" fontId="26" fillId="0" borderId="19" xfId="1" applyNumberFormat="1" applyFont="1" applyBorder="1" applyAlignment="1">
      <alignment horizontal="left"/>
    </xf>
    <xf numFmtId="165" fontId="17" fillId="0" borderId="19" xfId="1" applyNumberFormat="1" applyFont="1" applyFill="1" applyBorder="1" applyAlignment="1">
      <alignment horizontal="left"/>
    </xf>
    <xf numFmtId="167" fontId="26" fillId="14" borderId="19" xfId="1" applyNumberFormat="1" applyFont="1" applyFill="1" applyBorder="1" applyAlignment="1">
      <alignment horizontal="left" vertical="top"/>
    </xf>
    <xf numFmtId="3" fontId="17" fillId="0" borderId="19" xfId="0" applyNumberFormat="1" applyFont="1" applyBorder="1" applyAlignment="1">
      <alignment horizontal="left" vertical="top"/>
    </xf>
    <xf numFmtId="0" fontId="17" fillId="0" borderId="19" xfId="4" applyFont="1" applyBorder="1" applyAlignment="1">
      <alignment horizontal="left" vertical="top"/>
    </xf>
    <xf numFmtId="0" fontId="26" fillId="0" borderId="19" xfId="4" applyFont="1" applyBorder="1" applyAlignment="1">
      <alignment horizontal="left" vertical="top"/>
    </xf>
    <xf numFmtId="0" fontId="26" fillId="0" borderId="19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165" fontId="17" fillId="0" borderId="19" xfId="1" applyNumberFormat="1" applyFont="1" applyBorder="1" applyAlignment="1">
      <alignment horizontal="left"/>
    </xf>
    <xf numFmtId="165" fontId="17" fillId="0" borderId="19" xfId="0" applyNumberFormat="1" applyFont="1" applyBorder="1" applyAlignment="1">
      <alignment horizontal="left"/>
    </xf>
    <xf numFmtId="165" fontId="33" fillId="0" borderId="19" xfId="1" applyNumberFormat="1" applyFont="1" applyBorder="1" applyAlignment="1">
      <alignment horizontal="left"/>
    </xf>
    <xf numFmtId="165" fontId="26" fillId="0" borderId="19" xfId="0" applyNumberFormat="1" applyFont="1" applyBorder="1" applyAlignment="1">
      <alignment horizontal="left"/>
    </xf>
    <xf numFmtId="167" fontId="26" fillId="6" borderId="19" xfId="5" applyNumberFormat="1" applyFont="1" applyFill="1" applyBorder="1" applyAlignment="1">
      <alignment horizontal="center" vertical="center" wrapText="1"/>
    </xf>
    <xf numFmtId="167" fontId="26" fillId="6" borderId="19" xfId="5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7" fontId="26" fillId="2" borderId="20" xfId="5" applyNumberFormat="1" applyFont="1" applyFill="1" applyBorder="1" applyAlignment="1">
      <alignment horizontal="left" vertical="top" wrapText="1"/>
    </xf>
    <xf numFmtId="165" fontId="22" fillId="0" borderId="19" xfId="0" applyNumberFormat="1" applyFont="1" applyBorder="1" applyAlignment="1">
      <alignment horizontal="left" vertical="top"/>
    </xf>
    <xf numFmtId="3" fontId="21" fillId="2" borderId="20" xfId="0" applyNumberFormat="1" applyFont="1" applyFill="1" applyBorder="1" applyAlignment="1">
      <alignment vertical="top"/>
    </xf>
    <xf numFmtId="165" fontId="21" fillId="2" borderId="19" xfId="0" applyNumberFormat="1" applyFont="1" applyFill="1" applyBorder="1" applyAlignment="1">
      <alignment horizontal="left" vertical="top"/>
    </xf>
    <xf numFmtId="167" fontId="17" fillId="2" borderId="20" xfId="5" applyNumberFormat="1" applyFont="1" applyFill="1" applyBorder="1" applyAlignment="1">
      <alignment horizontal="left" vertical="top"/>
    </xf>
    <xf numFmtId="167" fontId="26" fillId="2" borderId="20" xfId="5" applyNumberFormat="1" applyFont="1" applyFill="1" applyBorder="1" applyAlignment="1">
      <alignment horizontal="left" vertical="top"/>
    </xf>
    <xf numFmtId="3" fontId="26" fillId="0" borderId="19" xfId="0" applyNumberFormat="1" applyFont="1" applyBorder="1" applyAlignment="1">
      <alignment horizontal="left" vertical="top"/>
    </xf>
    <xf numFmtId="167" fontId="26" fillId="2" borderId="20" xfId="5" applyNumberFormat="1" applyFont="1" applyFill="1" applyBorder="1" applyAlignment="1" applyProtection="1">
      <alignment horizontal="left" vertical="top"/>
    </xf>
    <xf numFmtId="166" fontId="21" fillId="2" borderId="20" xfId="0" applyNumberFormat="1" applyFont="1" applyFill="1" applyBorder="1" applyAlignment="1">
      <alignment horizontal="left" vertical="top"/>
    </xf>
    <xf numFmtId="165" fontId="21" fillId="0" borderId="19" xfId="0" applyNumberFormat="1" applyFont="1" applyBorder="1" applyAlignment="1">
      <alignment horizontal="left" vertical="top"/>
    </xf>
    <xf numFmtId="167" fontId="17" fillId="2" borderId="20" xfId="5" applyNumberFormat="1" applyFont="1" applyFill="1" applyBorder="1" applyAlignment="1" applyProtection="1">
      <alignment horizontal="left" vertical="top"/>
    </xf>
    <xf numFmtId="165" fontId="22" fillId="2" borderId="19" xfId="0" applyNumberFormat="1" applyFont="1" applyFill="1" applyBorder="1" applyAlignment="1">
      <alignment horizontal="left" vertical="top"/>
    </xf>
    <xf numFmtId="166" fontId="22" fillId="2" borderId="20" xfId="0" applyNumberFormat="1" applyFont="1" applyFill="1" applyBorder="1" applyAlignment="1">
      <alignment horizontal="left" vertical="top"/>
    </xf>
    <xf numFmtId="3" fontId="21" fillId="2" borderId="0" xfId="0" applyNumberFormat="1" applyFont="1" applyFill="1" applyAlignment="1">
      <alignment horizontal="right"/>
    </xf>
    <xf numFmtId="0" fontId="17" fillId="2" borderId="19" xfId="4" applyFont="1" applyFill="1" applyBorder="1" applyAlignment="1">
      <alignment horizontal="left" vertical="top" wrapText="1"/>
    </xf>
    <xf numFmtId="167" fontId="21" fillId="2" borderId="20" xfId="5" applyNumberFormat="1" applyFont="1" applyFill="1" applyBorder="1" applyAlignment="1">
      <alignment vertical="top"/>
    </xf>
    <xf numFmtId="167" fontId="17" fillId="10" borderId="20" xfId="5" applyNumberFormat="1" applyFont="1" applyFill="1" applyBorder="1" applyAlignment="1">
      <alignment horizontal="left" vertical="top"/>
    </xf>
    <xf numFmtId="0" fontId="26" fillId="6" borderId="19" xfId="0" applyFont="1" applyFill="1" applyBorder="1" applyAlignment="1">
      <alignment horizontal="left" vertical="top" wrapText="1"/>
    </xf>
    <xf numFmtId="3" fontId="26" fillId="6" borderId="19" xfId="0" applyNumberFormat="1" applyFont="1" applyFill="1" applyBorder="1" applyAlignment="1">
      <alignment horizontal="left" vertical="top"/>
    </xf>
    <xf numFmtId="165" fontId="26" fillId="2" borderId="20" xfId="5" applyNumberFormat="1" applyFont="1" applyFill="1" applyBorder="1" applyAlignment="1">
      <alignment horizontal="left" vertical="top"/>
    </xf>
    <xf numFmtId="165" fontId="17" fillId="2" borderId="20" xfId="5" applyNumberFormat="1" applyFont="1" applyFill="1" applyBorder="1" applyAlignment="1">
      <alignment horizontal="left" vertical="top"/>
    </xf>
    <xf numFmtId="167" fontId="17" fillId="31" borderId="20" xfId="5" applyNumberFormat="1" applyFont="1" applyFill="1" applyBorder="1" applyAlignment="1">
      <alignment horizontal="left" vertical="top"/>
    </xf>
    <xf numFmtId="0" fontId="26" fillId="6" borderId="19" xfId="0" applyFont="1" applyFill="1" applyBorder="1" applyAlignment="1">
      <alignment horizontal="left" vertical="center" wrapText="1"/>
    </xf>
    <xf numFmtId="3" fontId="26" fillId="6" borderId="19" xfId="0" applyNumberFormat="1" applyFont="1" applyFill="1" applyBorder="1" applyAlignment="1">
      <alignment horizontal="left" vertical="center"/>
    </xf>
    <xf numFmtId="167" fontId="26" fillId="10" borderId="20" xfId="5" applyNumberFormat="1" applyFont="1" applyFill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167" fontId="21" fillId="2" borderId="0" xfId="0" applyNumberFormat="1" applyFont="1" applyFill="1" applyAlignment="1">
      <alignment horizontal="left" vertical="top"/>
    </xf>
    <xf numFmtId="0" fontId="26" fillId="6" borderId="19" xfId="0" applyFont="1" applyFill="1" applyBorder="1" applyAlignment="1">
      <alignment horizontal="left" vertical="center"/>
    </xf>
    <xf numFmtId="165" fontId="26" fillId="2" borderId="20" xfId="0" applyNumberFormat="1" applyFont="1" applyFill="1" applyBorder="1" applyAlignment="1">
      <alignment horizontal="left" vertical="top"/>
    </xf>
    <xf numFmtId="165" fontId="17" fillId="23" borderId="20" xfId="5" applyNumberFormat="1" applyFont="1" applyFill="1" applyBorder="1" applyAlignment="1">
      <alignment horizontal="left" vertical="top"/>
    </xf>
    <xf numFmtId="165" fontId="17" fillId="2" borderId="20" xfId="0" applyNumberFormat="1" applyFont="1" applyFill="1" applyBorder="1" applyAlignment="1">
      <alignment horizontal="left" vertical="top"/>
    </xf>
    <xf numFmtId="0" fontId="17" fillId="0" borderId="19" xfId="0" applyFont="1" applyBorder="1" applyAlignment="1">
      <alignment horizontal="left" wrapText="1"/>
    </xf>
    <xf numFmtId="165" fontId="17" fillId="2" borderId="20" xfId="5" applyNumberFormat="1" applyFont="1" applyFill="1" applyBorder="1" applyAlignment="1">
      <alignment horizontal="left"/>
    </xf>
    <xf numFmtId="3" fontId="26" fillId="2" borderId="20" xfId="0" applyNumberFormat="1" applyFont="1" applyFill="1" applyBorder="1" applyAlignment="1">
      <alignment horizontal="right" vertical="top"/>
    </xf>
    <xf numFmtId="165" fontId="22" fillId="0" borderId="20" xfId="0" applyNumberFormat="1" applyFont="1" applyBorder="1" applyAlignment="1">
      <alignment horizontal="left" vertical="top"/>
    </xf>
    <xf numFmtId="165" fontId="26" fillId="2" borderId="20" xfId="0" applyNumberFormat="1" applyFont="1" applyFill="1" applyBorder="1" applyAlignment="1">
      <alignment horizontal="left"/>
    </xf>
    <xf numFmtId="166" fontId="21" fillId="2" borderId="0" xfId="0" applyNumberFormat="1" applyFont="1" applyFill="1" applyAlignment="1">
      <alignment horizontal="left"/>
    </xf>
    <xf numFmtId="165" fontId="17" fillId="23" borderId="20" xfId="5" applyNumberFormat="1" applyFont="1" applyFill="1" applyBorder="1" applyAlignment="1">
      <alignment horizontal="left"/>
    </xf>
    <xf numFmtId="166" fontId="21" fillId="2" borderId="19" xfId="0" applyNumberFormat="1" applyFont="1" applyFill="1" applyBorder="1" applyAlignment="1">
      <alignment horizontal="left"/>
    </xf>
    <xf numFmtId="165" fontId="26" fillId="2" borderId="20" xfId="5" applyNumberFormat="1" applyFont="1" applyFill="1" applyBorder="1" applyAlignment="1">
      <alignment horizontal="left"/>
    </xf>
    <xf numFmtId="165" fontId="17" fillId="2" borderId="20" xfId="0" applyNumberFormat="1" applyFont="1" applyFill="1" applyBorder="1" applyAlignment="1">
      <alignment horizontal="left"/>
    </xf>
    <xf numFmtId="165" fontId="26" fillId="2" borderId="20" xfId="0" applyNumberFormat="1" applyFont="1" applyFill="1" applyBorder="1" applyAlignment="1">
      <alignment horizontal="right"/>
    </xf>
    <xf numFmtId="165" fontId="21" fillId="2" borderId="0" xfId="5" applyNumberFormat="1" applyFont="1" applyFill="1" applyAlignment="1">
      <alignment horizontal="left"/>
    </xf>
    <xf numFmtId="0" fontId="26" fillId="0" borderId="20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3" borderId="19" xfId="0" applyFont="1" applyFill="1" applyBorder="1" applyAlignment="1">
      <alignment horizontal="left" vertical="top" wrapText="1"/>
    </xf>
    <xf numFmtId="165" fontId="26" fillId="3" borderId="19" xfId="0" applyNumberFormat="1" applyFont="1" applyFill="1" applyBorder="1" applyAlignment="1">
      <alignment horizontal="left" vertical="top" wrapText="1"/>
    </xf>
    <xf numFmtId="0" fontId="15" fillId="9" borderId="19" xfId="4" applyFont="1" applyFill="1" applyBorder="1" applyAlignment="1">
      <alignment horizontal="left" vertical="top" wrapText="1" readingOrder="1"/>
    </xf>
    <xf numFmtId="165" fontId="17" fillId="0" borderId="19" xfId="0" applyNumberFormat="1" applyFont="1" applyBorder="1" applyAlignment="1">
      <alignment horizontal="left" vertical="top" wrapText="1"/>
    </xf>
    <xf numFmtId="0" fontId="15" fillId="2" borderId="19" xfId="4" applyFont="1" applyFill="1" applyBorder="1" applyAlignment="1">
      <alignment horizontal="left" vertical="top" wrapText="1" readingOrder="1"/>
    </xf>
    <xf numFmtId="165" fontId="21" fillId="2" borderId="19" xfId="5" applyNumberFormat="1" applyFont="1" applyFill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165" fontId="22" fillId="2" borderId="19" xfId="5" applyNumberFormat="1" applyFont="1" applyFill="1" applyBorder="1" applyAlignment="1">
      <alignment horizontal="left" vertical="top" wrapText="1"/>
    </xf>
    <xf numFmtId="166" fontId="21" fillId="0" borderId="19" xfId="0" applyNumberFormat="1" applyFont="1" applyBorder="1" applyAlignment="1">
      <alignment horizontal="left" vertical="top" wrapText="1"/>
    </xf>
    <xf numFmtId="0" fontId="17" fillId="2" borderId="19" xfId="4" applyFont="1" applyFill="1" applyBorder="1" applyAlignment="1">
      <alignment horizontal="left" vertical="top" wrapText="1" readingOrder="1"/>
    </xf>
    <xf numFmtId="166" fontId="17" fillId="0" borderId="19" xfId="0" applyNumberFormat="1" applyFont="1" applyBorder="1" applyAlignment="1">
      <alignment horizontal="left" vertical="top" wrapText="1"/>
    </xf>
    <xf numFmtId="165" fontId="22" fillId="9" borderId="19" xfId="5" applyNumberFormat="1" applyFont="1" applyFill="1" applyBorder="1" applyAlignment="1">
      <alignment horizontal="left" vertical="top" wrapText="1"/>
    </xf>
    <xf numFmtId="165" fontId="17" fillId="2" borderId="19" xfId="5" applyNumberFormat="1" applyFont="1" applyFill="1" applyBorder="1" applyAlignment="1">
      <alignment horizontal="left" vertical="top" wrapText="1"/>
    </xf>
    <xf numFmtId="165" fontId="26" fillId="2" borderId="19" xfId="5" applyNumberFormat="1" applyFont="1" applyFill="1" applyBorder="1" applyAlignment="1">
      <alignment horizontal="left" vertical="top" wrapText="1"/>
    </xf>
    <xf numFmtId="166" fontId="22" fillId="0" borderId="19" xfId="0" applyNumberFormat="1" applyFont="1" applyBorder="1" applyAlignment="1">
      <alignment horizontal="left" vertical="top" wrapText="1"/>
    </xf>
    <xf numFmtId="165" fontId="26" fillId="2" borderId="19" xfId="0" applyNumberFormat="1" applyFont="1" applyFill="1" applyBorder="1" applyAlignment="1" applyProtection="1">
      <alignment horizontal="left" vertical="top" wrapText="1"/>
      <protection locked="0"/>
    </xf>
    <xf numFmtId="165" fontId="21" fillId="9" borderId="19" xfId="5" applyNumberFormat="1" applyFont="1" applyFill="1" applyBorder="1" applyAlignment="1">
      <alignment horizontal="left" vertical="top" wrapText="1"/>
    </xf>
    <xf numFmtId="165" fontId="21" fillId="33" borderId="19" xfId="5" applyNumberFormat="1" applyFont="1" applyFill="1" applyBorder="1" applyAlignment="1">
      <alignment horizontal="left" vertical="top" wrapText="1"/>
    </xf>
    <xf numFmtId="3" fontId="21" fillId="0" borderId="0" xfId="0" applyNumberFormat="1" applyFont="1" applyAlignment="1">
      <alignment horizontal="left" vertical="top" wrapText="1"/>
    </xf>
    <xf numFmtId="165" fontId="22" fillId="3" borderId="19" xfId="0" applyNumberFormat="1" applyFont="1" applyFill="1" applyBorder="1" applyAlignment="1">
      <alignment horizontal="left" vertical="top" wrapText="1"/>
    </xf>
    <xf numFmtId="165" fontId="21" fillId="0" borderId="0" xfId="1" applyNumberFormat="1" applyFont="1" applyAlignment="1">
      <alignment horizontal="left" vertical="top" wrapText="1"/>
    </xf>
    <xf numFmtId="165" fontId="21" fillId="2" borderId="19" xfId="0" applyNumberFormat="1" applyFont="1" applyFill="1" applyBorder="1" applyAlignment="1">
      <alignment horizontal="left" vertical="top" wrapText="1"/>
    </xf>
    <xf numFmtId="165" fontId="21" fillId="0" borderId="0" xfId="0" applyNumberFormat="1" applyFont="1" applyAlignment="1">
      <alignment horizontal="left" vertical="top" wrapText="1"/>
    </xf>
    <xf numFmtId="165" fontId="22" fillId="2" borderId="19" xfId="0" applyNumberFormat="1" applyFont="1" applyFill="1" applyBorder="1" applyAlignment="1">
      <alignment horizontal="left" vertical="top" wrapText="1"/>
    </xf>
    <xf numFmtId="165" fontId="17" fillId="6" borderId="19" xfId="1" applyNumberFormat="1" applyFont="1" applyFill="1" applyBorder="1" applyAlignment="1">
      <alignment horizontal="right" vertical="top"/>
    </xf>
    <xf numFmtId="165" fontId="17" fillId="6" borderId="19" xfId="1" applyNumberFormat="1" applyFont="1" applyFill="1" applyBorder="1" applyAlignment="1">
      <alignment wrapText="1" readingOrder="1"/>
    </xf>
    <xf numFmtId="0" fontId="22" fillId="0" borderId="19" xfId="0" applyFont="1" applyBorder="1" applyAlignment="1">
      <alignment horizontal="right" vertical="top"/>
    </xf>
    <xf numFmtId="170" fontId="14" fillId="19" borderId="19" xfId="0" quotePrefix="1" applyNumberFormat="1" applyFont="1" applyFill="1" applyBorder="1" applyAlignment="1">
      <alignment horizontal="right" vertical="top"/>
    </xf>
    <xf numFmtId="165" fontId="14" fillId="7" borderId="19" xfId="1" applyNumberFormat="1" applyFont="1" applyFill="1" applyBorder="1" applyAlignment="1">
      <alignment horizontal="right" vertical="top"/>
    </xf>
    <xf numFmtId="165" fontId="15" fillId="0" borderId="9" xfId="1" applyNumberFormat="1" applyFont="1" applyBorder="1" applyAlignment="1">
      <alignment horizontal="right" vertical="top" wrapText="1"/>
    </xf>
    <xf numFmtId="165" fontId="15" fillId="7" borderId="19" xfId="1" applyNumberFormat="1" applyFont="1" applyFill="1" applyBorder="1" applyAlignment="1">
      <alignment horizontal="right" vertical="top"/>
    </xf>
    <xf numFmtId="165" fontId="15" fillId="10" borderId="19" xfId="1" applyNumberFormat="1" applyFont="1" applyFill="1" applyBorder="1" applyAlignment="1">
      <alignment horizontal="right" vertical="top"/>
    </xf>
    <xf numFmtId="165" fontId="14" fillId="7" borderId="2" xfId="1" applyNumberFormat="1" applyFont="1" applyFill="1" applyBorder="1" applyAlignment="1">
      <alignment horizontal="right" vertical="top"/>
    </xf>
    <xf numFmtId="165" fontId="14" fillId="0" borderId="19" xfId="1" applyNumberFormat="1" applyFont="1" applyBorder="1" applyAlignment="1">
      <alignment horizontal="right" vertical="top" wrapText="1"/>
    </xf>
    <xf numFmtId="165" fontId="22" fillId="0" borderId="19" xfId="1" applyNumberFormat="1" applyFont="1" applyBorder="1" applyAlignment="1">
      <alignment horizontal="right" vertical="top"/>
    </xf>
    <xf numFmtId="165" fontId="21" fillId="0" borderId="0" xfId="1" applyNumberFormat="1" applyFont="1" applyAlignment="1">
      <alignment horizontal="right" vertical="top"/>
    </xf>
    <xf numFmtId="165" fontId="17" fillId="6" borderId="19" xfId="0" applyNumberFormat="1" applyFont="1" applyFill="1" applyBorder="1" applyAlignment="1">
      <alignment wrapText="1" readingOrder="1"/>
    </xf>
    <xf numFmtId="165" fontId="43" fillId="6" borderId="19" xfId="1" applyNumberFormat="1" applyFont="1" applyFill="1" applyBorder="1"/>
    <xf numFmtId="170" fontId="15" fillId="6" borderId="19" xfId="0" applyNumberFormat="1" applyFont="1" applyFill="1" applyBorder="1" applyAlignment="1">
      <alignment horizontal="right"/>
    </xf>
    <xf numFmtId="165" fontId="17" fillId="6" borderId="19" xfId="5" applyNumberFormat="1" applyFont="1" applyFill="1" applyBorder="1" applyAlignment="1"/>
    <xf numFmtId="167" fontId="17" fillId="6" borderId="20" xfId="5" applyNumberFormat="1" applyFont="1" applyFill="1" applyBorder="1" applyAlignment="1">
      <alignment horizontal="left" vertical="top"/>
    </xf>
    <xf numFmtId="166" fontId="21" fillId="6" borderId="20" xfId="0" applyNumberFormat="1" applyFont="1" applyFill="1" applyBorder="1" applyAlignment="1">
      <alignment horizontal="left" vertical="top"/>
    </xf>
    <xf numFmtId="165" fontId="17" fillId="6" borderId="20" xfId="0" applyNumberFormat="1" applyFont="1" applyFill="1" applyBorder="1" applyAlignment="1">
      <alignment horizontal="left"/>
    </xf>
    <xf numFmtId="165" fontId="43" fillId="0" borderId="19" xfId="1" applyNumberFormat="1" applyFont="1" applyBorder="1"/>
    <xf numFmtId="165" fontId="43" fillId="5" borderId="0" xfId="1" applyNumberFormat="1" applyFont="1" applyFill="1"/>
    <xf numFmtId="165" fontId="23" fillId="0" borderId="0" xfId="1" applyNumberFormat="1" applyFont="1"/>
    <xf numFmtId="165" fontId="24" fillId="0" borderId="19" xfId="1" applyNumberFormat="1" applyFont="1" applyBorder="1"/>
    <xf numFmtId="165" fontId="23" fillId="0" borderId="19" xfId="1" applyNumberFormat="1" applyFont="1" applyBorder="1"/>
    <xf numFmtId="165" fontId="38" fillId="0" borderId="19" xfId="1" applyNumberFormat="1" applyFont="1" applyBorder="1" applyAlignment="1">
      <alignment vertical="center" wrapText="1"/>
    </xf>
    <xf numFmtId="165" fontId="46" fillId="0" borderId="19" xfId="1" applyNumberFormat="1" applyFont="1" applyBorder="1" applyAlignment="1">
      <alignment vertical="center" wrapText="1"/>
    </xf>
    <xf numFmtId="165" fontId="38" fillId="0" borderId="19" xfId="1" applyNumberFormat="1" applyFont="1" applyFill="1" applyBorder="1" applyAlignment="1">
      <alignment vertical="center" wrapText="1"/>
    </xf>
    <xf numFmtId="165" fontId="32" fillId="0" borderId="19" xfId="1" applyNumberFormat="1" applyFont="1" applyBorder="1" applyAlignment="1">
      <alignment vertical="center" wrapText="1"/>
    </xf>
    <xf numFmtId="165" fontId="46" fillId="5" borderId="19" xfId="1" applyNumberFormat="1" applyFont="1" applyFill="1" applyBorder="1" applyAlignment="1">
      <alignment vertical="center" wrapText="1"/>
    </xf>
    <xf numFmtId="165" fontId="23" fillId="0" borderId="19" xfId="1" applyNumberFormat="1" applyFont="1" applyBorder="1" applyAlignment="1">
      <alignment vertical="center" wrapText="1"/>
    </xf>
    <xf numFmtId="167" fontId="43" fillId="0" borderId="0" xfId="5" applyNumberFormat="1" applyFont="1" applyFill="1" applyBorder="1"/>
    <xf numFmtId="167" fontId="14" fillId="0" borderId="0" xfId="5" applyNumberFormat="1" applyFont="1" applyFill="1" applyBorder="1" applyAlignment="1">
      <alignment vertical="center" wrapText="1"/>
    </xf>
    <xf numFmtId="43" fontId="42" fillId="0" borderId="19" xfId="0" applyNumberFormat="1" applyFont="1" applyBorder="1"/>
    <xf numFmtId="0" fontId="24" fillId="0" borderId="0" xfId="0" applyFont="1" applyAlignment="1">
      <alignment wrapText="1"/>
    </xf>
    <xf numFmtId="165" fontId="53" fillId="0" borderId="19" xfId="1" applyNumberFormat="1" applyFont="1" applyFill="1" applyBorder="1" applyAlignment="1">
      <alignment horizontal="right" vertical="top" wrapText="1"/>
    </xf>
    <xf numFmtId="165" fontId="52" fillId="0" borderId="19" xfId="1" applyNumberFormat="1" applyFont="1" applyFill="1" applyBorder="1" applyAlignment="1">
      <alignment horizontal="right" vertical="top"/>
    </xf>
    <xf numFmtId="165" fontId="54" fillId="0" borderId="19" xfId="1" applyNumberFormat="1" applyFont="1" applyFill="1" applyBorder="1" applyAlignment="1">
      <alignment horizontal="right" vertical="top" wrapText="1"/>
    </xf>
    <xf numFmtId="165" fontId="51" fillId="0" borderId="32" xfId="1" applyNumberFormat="1" applyFont="1" applyBorder="1"/>
    <xf numFmtId="165" fontId="41" fillId="0" borderId="32" xfId="1" applyNumberFormat="1" applyFont="1" applyFill="1" applyBorder="1" applyAlignment="1">
      <alignment horizontal="right" vertical="top" wrapText="1"/>
    </xf>
    <xf numFmtId="0" fontId="38" fillId="0" borderId="31" xfId="0" applyFont="1" applyBorder="1" applyAlignment="1">
      <alignment vertical="center"/>
    </xf>
    <xf numFmtId="3" fontId="38" fillId="0" borderId="9" xfId="0" applyNumberFormat="1" applyFont="1" applyBorder="1" applyAlignment="1">
      <alignment vertical="center"/>
    </xf>
    <xf numFmtId="165" fontId="26" fillId="22" borderId="20" xfId="0" applyNumberFormat="1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19" xfId="0" applyFont="1" applyBorder="1" applyAlignment="1">
      <alignment vertical="center"/>
    </xf>
    <xf numFmtId="165" fontId="22" fillId="0" borderId="19" xfId="1" applyNumberFormat="1" applyFont="1" applyBorder="1" applyAlignment="1">
      <alignment vertical="center"/>
    </xf>
    <xf numFmtId="0" fontId="26" fillId="2" borderId="19" xfId="0" applyFont="1" applyFill="1" applyBorder="1" applyAlignment="1" applyProtection="1">
      <alignment horizontal="left"/>
      <protection locked="0"/>
    </xf>
    <xf numFmtId="0" fontId="17" fillId="2" borderId="19" xfId="0" applyFont="1" applyFill="1" applyBorder="1" applyAlignment="1" applyProtection="1">
      <alignment horizontal="left"/>
      <protection locked="0"/>
    </xf>
    <xf numFmtId="0" fontId="26" fillId="3" borderId="19" xfId="0" applyFont="1" applyFill="1" applyBorder="1" applyAlignment="1">
      <alignment horizontal="left" vertical="top"/>
    </xf>
    <xf numFmtId="0" fontId="15" fillId="9" borderId="19" xfId="4" applyFont="1" applyFill="1" applyBorder="1" applyAlignment="1">
      <alignment horizontal="left" vertical="top" readingOrder="1"/>
    </xf>
    <xf numFmtId="0" fontId="15" fillId="2" borderId="19" xfId="4" applyFont="1" applyFill="1" applyBorder="1" applyAlignment="1">
      <alignment horizontal="left" vertical="top" readingOrder="1"/>
    </xf>
    <xf numFmtId="0" fontId="17" fillId="2" borderId="19" xfId="4" applyFont="1" applyFill="1" applyBorder="1" applyAlignment="1">
      <alignment horizontal="left" vertical="top" readingOrder="1"/>
    </xf>
    <xf numFmtId="0" fontId="22" fillId="2" borderId="19" xfId="0" applyFont="1" applyFill="1" applyBorder="1" applyAlignment="1">
      <alignment horizontal="left" vertical="top" wrapText="1"/>
    </xf>
    <xf numFmtId="0" fontId="22" fillId="0" borderId="19" xfId="0" applyFont="1" applyBorder="1" applyAlignment="1">
      <alignment horizontal="left" vertical="top" wrapText="1"/>
    </xf>
    <xf numFmtId="165" fontId="22" fillId="0" borderId="19" xfId="0" applyNumberFormat="1" applyFont="1" applyBorder="1" applyAlignment="1">
      <alignment horizontal="left" vertical="top" wrapText="1"/>
    </xf>
    <xf numFmtId="3" fontId="15" fillId="0" borderId="19" xfId="0" applyNumberFormat="1" applyFont="1" applyBorder="1"/>
    <xf numFmtId="166" fontId="33" fillId="0" borderId="19" xfId="0" applyNumberFormat="1" applyFont="1" applyBorder="1"/>
    <xf numFmtId="166" fontId="55" fillId="2" borderId="19" xfId="0" applyNumberFormat="1" applyFont="1" applyFill="1" applyBorder="1"/>
    <xf numFmtId="166" fontId="17" fillId="0" borderId="19" xfId="0" applyNumberFormat="1" applyFont="1" applyBorder="1"/>
    <xf numFmtId="165" fontId="55" fillId="2" borderId="19" xfId="5" applyNumberFormat="1" applyFont="1" applyFill="1" applyBorder="1"/>
    <xf numFmtId="165" fontId="21" fillId="2" borderId="19" xfId="5" applyNumberFormat="1" applyFont="1" applyFill="1" applyBorder="1"/>
    <xf numFmtId="0" fontId="22" fillId="6" borderId="19" xfId="0" applyFont="1" applyFill="1" applyBorder="1" applyAlignment="1">
      <alignment horizontal="left" vertical="top"/>
    </xf>
    <xf numFmtId="0" fontId="26" fillId="6" borderId="19" xfId="0" applyFont="1" applyFill="1" applyBorder="1" applyAlignment="1">
      <alignment horizontal="left" readingOrder="1"/>
    </xf>
    <xf numFmtId="165" fontId="56" fillId="0" borderId="19" xfId="0" applyNumberFormat="1" applyFont="1" applyBorder="1" applyAlignment="1">
      <alignment horizontal="left"/>
    </xf>
    <xf numFmtId="165" fontId="56" fillId="0" borderId="19" xfId="1" applyNumberFormat="1" applyFont="1" applyBorder="1" applyAlignment="1">
      <alignment horizontal="left"/>
    </xf>
    <xf numFmtId="165" fontId="48" fillId="0" borderId="19" xfId="0" applyNumberFormat="1" applyFont="1" applyBorder="1" applyAlignment="1">
      <alignment horizontal="left"/>
    </xf>
    <xf numFmtId="165" fontId="57" fillId="0" borderId="19" xfId="1" applyNumberFormat="1" applyFont="1" applyBorder="1" applyAlignment="1">
      <alignment horizontal="left"/>
    </xf>
    <xf numFmtId="165" fontId="56" fillId="0" borderId="19" xfId="1" applyNumberFormat="1" applyFont="1" applyBorder="1" applyAlignment="1">
      <alignment vertical="center"/>
    </xf>
    <xf numFmtId="165" fontId="56" fillId="0" borderId="19" xfId="1" applyNumberFormat="1" applyFont="1" applyBorder="1"/>
    <xf numFmtId="165" fontId="48" fillId="0" borderId="19" xfId="1" applyNumberFormat="1" applyFont="1" applyBorder="1" applyAlignment="1">
      <alignment wrapText="1" readingOrder="1"/>
    </xf>
    <xf numFmtId="0" fontId="56" fillId="0" borderId="19" xfId="0" applyFont="1" applyBorder="1" applyAlignment="1">
      <alignment horizontal="left" vertical="top"/>
    </xf>
    <xf numFmtId="165" fontId="56" fillId="0" borderId="19" xfId="1" applyNumberFormat="1" applyFont="1" applyBorder="1" applyAlignment="1">
      <alignment horizontal="right" vertical="top"/>
    </xf>
    <xf numFmtId="172" fontId="58" fillId="7" borderId="19" xfId="0" applyNumberFormat="1" applyFont="1" applyFill="1" applyBorder="1" applyAlignment="1">
      <alignment horizontal="right" vertical="top"/>
    </xf>
    <xf numFmtId="165" fontId="48" fillId="0" borderId="19" xfId="0" applyNumberFormat="1" applyFont="1" applyBorder="1" applyAlignment="1">
      <alignment wrapText="1" readingOrder="1"/>
    </xf>
    <xf numFmtId="0" fontId="56" fillId="0" borderId="19" xfId="0" applyFont="1" applyBorder="1" applyAlignment="1">
      <alignment wrapText="1"/>
    </xf>
    <xf numFmtId="165" fontId="56" fillId="0" borderId="19" xfId="0" applyNumberFormat="1" applyFont="1" applyBorder="1" applyAlignment="1">
      <alignment wrapText="1"/>
    </xf>
    <xf numFmtId="0" fontId="48" fillId="2" borderId="19" xfId="0" applyFont="1" applyFill="1" applyBorder="1" applyAlignment="1">
      <alignment horizontal="left" wrapText="1"/>
    </xf>
    <xf numFmtId="164" fontId="48" fillId="2" borderId="19" xfId="0" applyNumberFormat="1" applyFont="1" applyFill="1" applyBorder="1" applyAlignment="1">
      <alignment vertical="top" wrapText="1"/>
    </xf>
    <xf numFmtId="165" fontId="48" fillId="2" borderId="19" xfId="1" applyNumberFormat="1" applyFont="1" applyFill="1" applyBorder="1" applyAlignment="1">
      <alignment horizontal="left" wrapText="1"/>
    </xf>
    <xf numFmtId="165" fontId="58" fillId="7" borderId="19" xfId="1" applyNumberFormat="1" applyFont="1" applyFill="1" applyBorder="1" applyAlignment="1">
      <alignment horizontal="right"/>
    </xf>
    <xf numFmtId="3" fontId="48" fillId="2" borderId="19" xfId="0" applyNumberFormat="1" applyFont="1" applyFill="1" applyBorder="1" applyAlignment="1">
      <alignment horizontal="right" vertical="top"/>
    </xf>
    <xf numFmtId="165" fontId="56" fillId="0" borderId="19" xfId="0" applyNumberFormat="1" applyFont="1" applyBorder="1"/>
    <xf numFmtId="0" fontId="56" fillId="0" borderId="19" xfId="0" applyFont="1" applyBorder="1"/>
    <xf numFmtId="165" fontId="56" fillId="0" borderId="19" xfId="1" applyNumberFormat="1" applyFont="1" applyBorder="1" applyAlignment="1"/>
    <xf numFmtId="4" fontId="37" fillId="10" borderId="19" xfId="0" applyNumberFormat="1" applyFont="1" applyFill="1" applyBorder="1"/>
    <xf numFmtId="165" fontId="17" fillId="10" borderId="19" xfId="5" applyNumberFormat="1" applyFont="1" applyFill="1" applyBorder="1" applyAlignment="1">
      <alignment vertical="top" wrapText="1"/>
    </xf>
    <xf numFmtId="165" fontId="17" fillId="10" borderId="19" xfId="1" applyNumberFormat="1" applyFont="1" applyFill="1" applyBorder="1" applyAlignment="1">
      <alignment horizontal="left"/>
    </xf>
    <xf numFmtId="165" fontId="22" fillId="0" borderId="19" xfId="1" applyNumberFormat="1" applyFont="1" applyBorder="1"/>
    <xf numFmtId="9" fontId="43" fillId="0" borderId="0" xfId="0" applyNumberFormat="1" applyFont="1"/>
    <xf numFmtId="0" fontId="42" fillId="0" borderId="21" xfId="0" applyFont="1" applyBorder="1" applyAlignment="1">
      <alignment wrapText="1"/>
    </xf>
    <xf numFmtId="43" fontId="42" fillId="0" borderId="21" xfId="0" applyNumberFormat="1" applyFont="1" applyBorder="1"/>
    <xf numFmtId="165" fontId="42" fillId="0" borderId="19" xfId="1" applyNumberFormat="1" applyFont="1" applyFill="1" applyBorder="1" applyAlignment="1">
      <alignment wrapText="1"/>
    </xf>
    <xf numFmtId="165" fontId="43" fillId="0" borderId="19" xfId="0" applyNumberFormat="1" applyFont="1" applyBorder="1"/>
    <xf numFmtId="0" fontId="42" fillId="0" borderId="19" xfId="0" applyFont="1" applyBorder="1"/>
    <xf numFmtId="9" fontId="43" fillId="0" borderId="19" xfId="2" applyFont="1" applyFill="1" applyBorder="1"/>
    <xf numFmtId="0" fontId="26" fillId="2" borderId="20" xfId="0" applyFont="1" applyFill="1" applyBorder="1" applyAlignment="1">
      <alignment vertical="center"/>
    </xf>
    <xf numFmtId="0" fontId="26" fillId="2" borderId="22" xfId="0" applyFont="1" applyFill="1" applyBorder="1" applyAlignment="1">
      <alignment vertical="center"/>
    </xf>
    <xf numFmtId="0" fontId="59" fillId="2" borderId="20" xfId="0" applyFont="1" applyFill="1" applyBorder="1" applyAlignment="1">
      <alignment vertical="top"/>
    </xf>
    <xf numFmtId="0" fontId="59" fillId="2" borderId="22" xfId="0" applyFont="1" applyFill="1" applyBorder="1" applyAlignment="1">
      <alignment vertical="top"/>
    </xf>
    <xf numFmtId="0" fontId="17" fillId="13" borderId="19" xfId="0" applyFont="1" applyFill="1" applyBorder="1" applyAlignment="1">
      <alignment vertical="top"/>
    </xf>
    <xf numFmtId="0" fontId="26" fillId="13" borderId="19" xfId="0" applyFont="1" applyFill="1" applyBorder="1" applyAlignment="1">
      <alignment vertical="top"/>
    </xf>
    <xf numFmtId="0" fontId="26" fillId="13" borderId="23" xfId="0" applyFont="1" applyFill="1" applyBorder="1"/>
    <xf numFmtId="0" fontId="26" fillId="13" borderId="19" xfId="0" applyFont="1" applyFill="1" applyBorder="1" applyAlignment="1">
      <alignment horizontal="left" wrapText="1"/>
    </xf>
    <xf numFmtId="165" fontId="26" fillId="0" borderId="19" xfId="5" applyNumberFormat="1" applyFont="1" applyFill="1" applyBorder="1" applyAlignment="1">
      <alignment horizontal="right"/>
    </xf>
    <xf numFmtId="165" fontId="26" fillId="0" borderId="19" xfId="5" applyNumberFormat="1" applyFont="1" applyBorder="1" applyAlignment="1">
      <alignment horizontal="right"/>
    </xf>
    <xf numFmtId="0" fontId="17" fillId="0" borderId="19" xfId="0" applyFont="1" applyBorder="1" applyAlignment="1">
      <alignment horizontal="right"/>
    </xf>
    <xf numFmtId="3" fontId="60" fillId="0" borderId="0" xfId="0" applyNumberFormat="1" applyFont="1"/>
    <xf numFmtId="0" fontId="17" fillId="0" borderId="19" xfId="0" applyFont="1" applyBorder="1" applyAlignment="1">
      <alignment vertical="top" wrapText="1"/>
    </xf>
    <xf numFmtId="165" fontId="17" fillId="0" borderId="19" xfId="5" applyNumberFormat="1" applyFont="1" applyFill="1" applyBorder="1" applyAlignment="1">
      <alignment horizontal="right"/>
    </xf>
    <xf numFmtId="0" fontId="36" fillId="0" borderId="19" xfId="0" applyFont="1" applyBorder="1" applyAlignment="1">
      <alignment vertical="center"/>
    </xf>
    <xf numFmtId="0" fontId="36" fillId="0" borderId="19" xfId="0" applyFont="1" applyBorder="1" applyAlignment="1">
      <alignment vertical="center" wrapText="1"/>
    </xf>
    <xf numFmtId="3" fontId="36" fillId="0" borderId="19" xfId="0" applyNumberFormat="1" applyFont="1" applyBorder="1" applyAlignment="1">
      <alignment vertical="center"/>
    </xf>
    <xf numFmtId="0" fontId="26" fillId="0" borderId="19" xfId="0" applyFont="1" applyBorder="1" applyAlignment="1">
      <alignment vertical="top" wrapText="1"/>
    </xf>
    <xf numFmtId="165" fontId="17" fillId="0" borderId="19" xfId="5" applyNumberFormat="1" applyFont="1" applyBorder="1" applyAlignment="1">
      <alignment horizontal="right"/>
    </xf>
    <xf numFmtId="9" fontId="61" fillId="0" borderId="19" xfId="2" applyFont="1" applyFill="1" applyBorder="1"/>
    <xf numFmtId="0" fontId="16" fillId="0" borderId="0" xfId="0" applyFont="1"/>
    <xf numFmtId="165" fontId="26" fillId="0" borderId="19" xfId="0" applyNumberFormat="1" applyFont="1" applyBorder="1" applyAlignment="1">
      <alignment horizontal="right"/>
    </xf>
    <xf numFmtId="0" fontId="17" fillId="0" borderId="0" xfId="0" applyFont="1" applyAlignment="1">
      <alignment vertical="top"/>
    </xf>
    <xf numFmtId="0" fontId="26" fillId="0" borderId="0" xfId="0" applyFont="1" applyAlignment="1">
      <alignment vertical="top"/>
    </xf>
    <xf numFmtId="165" fontId="26" fillId="0" borderId="0" xfId="0" applyNumberFormat="1" applyFont="1" applyAlignment="1">
      <alignment horizontal="right"/>
    </xf>
    <xf numFmtId="165" fontId="21" fillId="34" borderId="19" xfId="1" applyNumberFormat="1" applyFont="1" applyFill="1" applyBorder="1" applyAlignment="1">
      <alignment horizontal="right" vertical="top"/>
    </xf>
    <xf numFmtId="3" fontId="15" fillId="0" borderId="0" xfId="0" applyNumberFormat="1" applyFont="1"/>
    <xf numFmtId="165" fontId="17" fillId="34" borderId="19" xfId="0" applyNumberFormat="1" applyFont="1" applyFill="1" applyBorder="1" applyAlignment="1">
      <alignment horizontal="left"/>
    </xf>
    <xf numFmtId="3" fontId="62" fillId="0" borderId="0" xfId="0" applyNumberFormat="1" applyFont="1"/>
    <xf numFmtId="165" fontId="21" fillId="0" borderId="0" xfId="0" applyNumberFormat="1" applyFont="1" applyAlignment="1">
      <alignment wrapText="1"/>
    </xf>
    <xf numFmtId="3" fontId="63" fillId="0" borderId="0" xfId="0" applyNumberFormat="1" applyFont="1"/>
    <xf numFmtId="3" fontId="63" fillId="0" borderId="9" xfId="0" applyNumberFormat="1" applyFont="1" applyBorder="1" applyAlignment="1">
      <alignment horizontal="right" vertical="center" wrapText="1"/>
    </xf>
    <xf numFmtId="3" fontId="43" fillId="0" borderId="0" xfId="0" applyNumberFormat="1" applyFont="1"/>
    <xf numFmtId="43" fontId="21" fillId="0" borderId="0" xfId="0" applyNumberFormat="1" applyFont="1"/>
    <xf numFmtId="0" fontId="43" fillId="0" borderId="19" xfId="0" applyFont="1" applyBorder="1" applyAlignment="1">
      <alignment wrapText="1"/>
    </xf>
    <xf numFmtId="9" fontId="42" fillId="0" borderId="19" xfId="2" applyFont="1" applyFill="1" applyBorder="1"/>
    <xf numFmtId="0" fontId="42" fillId="0" borderId="0" xfId="0" applyFont="1" applyFill="1"/>
    <xf numFmtId="0" fontId="42" fillId="0" borderId="20" xfId="0" applyFont="1" applyFill="1" applyBorder="1"/>
    <xf numFmtId="167" fontId="42" fillId="0" borderId="19" xfId="5" applyNumberFormat="1" applyFont="1" applyFill="1" applyBorder="1"/>
    <xf numFmtId="0" fontId="42" fillId="0" borderId="19" xfId="0" applyFont="1" applyFill="1" applyBorder="1"/>
    <xf numFmtId="0" fontId="43" fillId="0" borderId="0" xfId="0" applyFont="1" applyFill="1"/>
    <xf numFmtId="0" fontId="43" fillId="0" borderId="19" xfId="0" applyFont="1" applyFill="1" applyBorder="1" applyAlignment="1">
      <alignment wrapText="1"/>
    </xf>
    <xf numFmtId="0" fontId="43" fillId="0" borderId="20" xfId="0" applyFont="1" applyFill="1" applyBorder="1"/>
    <xf numFmtId="165" fontId="43" fillId="0" borderId="0" xfId="0" applyNumberFormat="1" applyFont="1" applyFill="1"/>
    <xf numFmtId="43" fontId="43" fillId="0" borderId="0" xfId="0" applyNumberFormat="1" applyFont="1" applyFill="1"/>
    <xf numFmtId="0" fontId="43" fillId="0" borderId="19" xfId="0" applyFont="1" applyFill="1" applyBorder="1"/>
    <xf numFmtId="167" fontId="43" fillId="0" borderId="0" xfId="0" applyNumberFormat="1" applyFont="1" applyFill="1"/>
    <xf numFmtId="165" fontId="51" fillId="0" borderId="0" xfId="1" applyNumberFormat="1" applyFont="1" applyFill="1"/>
    <xf numFmtId="165" fontId="52" fillId="0" borderId="0" xfId="1" applyNumberFormat="1" applyFont="1" applyFill="1"/>
    <xf numFmtId="165" fontId="51" fillId="0" borderId="19" xfId="1" applyNumberFormat="1" applyFont="1" applyFill="1" applyBorder="1"/>
    <xf numFmtId="165" fontId="41" fillId="0" borderId="19" xfId="1" applyNumberFormat="1" applyFont="1" applyFill="1" applyBorder="1"/>
    <xf numFmtId="165" fontId="41" fillId="0" borderId="19" xfId="1" applyNumberFormat="1" applyFont="1" applyFill="1" applyBorder="1" applyAlignment="1">
      <alignment wrapText="1"/>
    </xf>
    <xf numFmtId="165" fontId="53" fillId="0" borderId="19" xfId="1" applyNumberFormat="1" applyFont="1" applyFill="1" applyBorder="1" applyAlignment="1">
      <alignment horizontal="left" vertical="top"/>
    </xf>
    <xf numFmtId="165" fontId="54" fillId="0" borderId="19" xfId="1" applyNumberFormat="1" applyFont="1" applyFill="1" applyBorder="1" applyAlignment="1">
      <alignment horizontal="left" vertical="top"/>
    </xf>
    <xf numFmtId="165" fontId="52" fillId="0" borderId="19" xfId="1" applyNumberFormat="1" applyFont="1" applyFill="1" applyBorder="1"/>
    <xf numFmtId="165" fontId="51" fillId="0" borderId="32" xfId="1" applyNumberFormat="1" applyFont="1" applyFill="1" applyBorder="1"/>
    <xf numFmtId="165" fontId="41" fillId="0" borderId="32" xfId="1" applyNumberFormat="1" applyFont="1" applyFill="1" applyBorder="1" applyAlignment="1">
      <alignment horizontal="left" vertical="top"/>
    </xf>
    <xf numFmtId="165" fontId="51" fillId="0" borderId="0" xfId="1" applyNumberFormat="1" applyFont="1" applyFill="1" applyBorder="1"/>
    <xf numFmtId="165" fontId="52" fillId="0" borderId="0" xfId="1" applyNumberFormat="1" applyFont="1" applyFill="1" applyBorder="1"/>
    <xf numFmtId="165" fontId="54" fillId="0" borderId="19" xfId="1" applyNumberFormat="1" applyFont="1" applyFill="1" applyBorder="1" applyAlignment="1">
      <alignment vertical="center" wrapText="1"/>
    </xf>
    <xf numFmtId="3" fontId="14" fillId="0" borderId="9" xfId="0" applyNumberFormat="1" applyFont="1" applyFill="1" applyBorder="1" applyAlignment="1">
      <alignment vertical="center"/>
    </xf>
    <xf numFmtId="0" fontId="0" fillId="0" borderId="9" xfId="0" applyFill="1" applyBorder="1" applyAlignment="1">
      <alignment vertical="top"/>
    </xf>
    <xf numFmtId="165" fontId="42" fillId="25" borderId="19" xfId="1" applyNumberFormat="1" applyFont="1" applyFill="1" applyBorder="1" applyAlignment="1">
      <alignment horizontal="center" vertical="center"/>
    </xf>
    <xf numFmtId="0" fontId="42" fillId="24" borderId="19" xfId="0" applyFont="1" applyFill="1" applyBorder="1" applyAlignment="1">
      <alignment horizontal="center" vertical="center"/>
    </xf>
    <xf numFmtId="0" fontId="42" fillId="26" borderId="19" xfId="0" applyFont="1" applyFill="1" applyBorder="1" applyAlignment="1">
      <alignment horizontal="center" vertical="center"/>
    </xf>
    <xf numFmtId="165" fontId="42" fillId="0" borderId="19" xfId="1" applyNumberFormat="1" applyFont="1" applyFill="1" applyBorder="1" applyAlignment="1">
      <alignment horizontal="center" vertical="center"/>
    </xf>
    <xf numFmtId="0" fontId="64" fillId="0" borderId="1" xfId="0" applyFont="1" applyBorder="1" applyAlignment="1">
      <alignment horizontal="center" vertical="center"/>
    </xf>
    <xf numFmtId="0" fontId="64" fillId="0" borderId="33" xfId="0" applyFont="1" applyBorder="1" applyAlignment="1">
      <alignment horizontal="center" vertical="center"/>
    </xf>
    <xf numFmtId="0" fontId="65" fillId="0" borderId="1" xfId="0" applyFont="1" applyFill="1" applyBorder="1" applyAlignment="1">
      <alignment horizontal="center" vertical="center"/>
    </xf>
    <xf numFmtId="0" fontId="65" fillId="0" borderId="33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wrapText="1"/>
    </xf>
    <xf numFmtId="0" fontId="23" fillId="0" borderId="2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4" fontId="26" fillId="0" borderId="19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top" wrapText="1"/>
    </xf>
    <xf numFmtId="169" fontId="14" fillId="19" borderId="19" xfId="0" quotePrefix="1" applyNumberFormat="1" applyFont="1" applyFill="1" applyBorder="1" applyAlignment="1">
      <alignment horizontal="left" vertical="top"/>
    </xf>
    <xf numFmtId="165" fontId="14" fillId="19" borderId="19" xfId="1" quotePrefix="1" applyNumberFormat="1" applyFont="1" applyFill="1" applyBorder="1" applyAlignment="1">
      <alignment horizontal="right" wrapText="1"/>
    </xf>
    <xf numFmtId="170" fontId="14" fillId="19" borderId="23" xfId="0" quotePrefix="1" applyNumberFormat="1" applyFont="1" applyFill="1" applyBorder="1" applyAlignment="1">
      <alignment horizontal="right" vertical="top"/>
    </xf>
    <xf numFmtId="0" fontId="22" fillId="0" borderId="20" xfId="0" applyFont="1" applyBorder="1" applyAlignment="1">
      <alignment horizontal="left" vertical="top"/>
    </xf>
    <xf numFmtId="0" fontId="22" fillId="0" borderId="22" xfId="0" applyFont="1" applyBorder="1" applyAlignment="1">
      <alignment horizontal="left" vertical="top"/>
    </xf>
    <xf numFmtId="165" fontId="14" fillId="19" borderId="19" xfId="1" quotePrefix="1" applyNumberFormat="1" applyFont="1" applyFill="1" applyBorder="1" applyAlignment="1">
      <alignment horizontal="right" vertical="top" wrapText="1"/>
    </xf>
    <xf numFmtId="170" fontId="14" fillId="19" borderId="19" xfId="0" quotePrefix="1" applyNumberFormat="1" applyFont="1" applyFill="1" applyBorder="1" applyAlignment="1">
      <alignment horizontal="right" vertical="top"/>
    </xf>
    <xf numFmtId="0" fontId="21" fillId="0" borderId="0" xfId="0" applyFont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2" borderId="23" xfId="0" applyFont="1" applyFill="1" applyBorder="1" applyAlignment="1">
      <alignment horizontal="left" vertical="center" wrapText="1"/>
    </xf>
    <xf numFmtId="169" fontId="14" fillId="19" borderId="19" xfId="0" quotePrefix="1" applyNumberFormat="1" applyFont="1" applyFill="1" applyBorder="1" applyAlignment="1">
      <alignment horizontal="center" vertical="top"/>
    </xf>
    <xf numFmtId="170" fontId="14" fillId="19" borderId="19" xfId="0" quotePrefix="1" applyNumberFormat="1" applyFont="1" applyFill="1" applyBorder="1" applyAlignment="1">
      <alignment horizontal="center"/>
    </xf>
    <xf numFmtId="170" fontId="14" fillId="19" borderId="20" xfId="0" quotePrefix="1" applyNumberFormat="1" applyFont="1" applyFill="1" applyBorder="1" applyAlignment="1">
      <alignment horizontal="center"/>
    </xf>
    <xf numFmtId="170" fontId="14" fillId="19" borderId="21" xfId="0" quotePrefix="1" applyNumberFormat="1" applyFont="1" applyFill="1" applyBorder="1" applyAlignment="1">
      <alignment horizontal="center"/>
    </xf>
    <xf numFmtId="0" fontId="22" fillId="2" borderId="20" xfId="0" applyFont="1" applyFill="1" applyBorder="1" applyAlignment="1">
      <alignment horizontal="left" vertical="top" wrapText="1"/>
    </xf>
    <xf numFmtId="0" fontId="22" fillId="2" borderId="21" xfId="0" applyFont="1" applyFill="1" applyBorder="1" applyAlignment="1">
      <alignment horizontal="left" vertical="top" wrapText="1"/>
    </xf>
    <xf numFmtId="0" fontId="30" fillId="2" borderId="20" xfId="0" applyFont="1" applyFill="1" applyBorder="1" applyAlignment="1" applyProtection="1">
      <alignment horizontal="left" vertical="top" wrapText="1"/>
      <protection locked="0"/>
    </xf>
    <xf numFmtId="0" fontId="30" fillId="2" borderId="21" xfId="0" applyFont="1" applyFill="1" applyBorder="1" applyAlignment="1" applyProtection="1">
      <alignment horizontal="left" vertical="top" wrapText="1"/>
      <protection locked="0"/>
    </xf>
    <xf numFmtId="0" fontId="22" fillId="2" borderId="10" xfId="0" applyFont="1" applyFill="1" applyBorder="1" applyAlignment="1">
      <alignment horizontal="left" vertical="top" wrapText="1"/>
    </xf>
    <xf numFmtId="0" fontId="21" fillId="2" borderId="0" xfId="0" applyFont="1" applyFill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171" fontId="14" fillId="7" borderId="20" xfId="0" quotePrefix="1" applyNumberFormat="1" applyFont="1" applyFill="1" applyBorder="1" applyAlignment="1">
      <alignment horizontal="left" wrapText="1"/>
    </xf>
    <xf numFmtId="171" fontId="14" fillId="7" borderId="22" xfId="0" quotePrefix="1" applyNumberFormat="1" applyFont="1" applyFill="1" applyBorder="1" applyAlignment="1">
      <alignment horizontal="left" wrapText="1"/>
    </xf>
    <xf numFmtId="171" fontId="14" fillId="7" borderId="21" xfId="0" quotePrefix="1" applyNumberFormat="1" applyFont="1" applyFill="1" applyBorder="1" applyAlignment="1">
      <alignment horizontal="left" wrapText="1"/>
    </xf>
    <xf numFmtId="169" fontId="14" fillId="19" borderId="19" xfId="0" quotePrefix="1" applyNumberFormat="1" applyFont="1" applyFill="1" applyBorder="1" applyAlignment="1">
      <alignment wrapText="1"/>
    </xf>
    <xf numFmtId="169" fontId="14" fillId="19" borderId="19" xfId="0" quotePrefix="1" applyNumberFormat="1" applyFont="1" applyFill="1" applyBorder="1" applyAlignment="1">
      <alignment horizontal="center"/>
    </xf>
    <xf numFmtId="170" fontId="14" fillId="19" borderId="19" xfId="0" quotePrefix="1" applyNumberFormat="1" applyFont="1" applyFill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left" vertical="top" wrapText="1"/>
    </xf>
  </cellXfs>
  <cellStyles count="23">
    <cellStyle name="Comma" xfId="1" builtinId="3"/>
    <cellStyle name="Comma 10" xfId="22"/>
    <cellStyle name="Comma 2" xfId="3"/>
    <cellStyle name="Comma 2 2" xfId="13"/>
    <cellStyle name="Comma 2 3" xfId="18"/>
    <cellStyle name="Comma 2 4" xfId="5"/>
    <cellStyle name="Comma 2 4 2" xfId="10"/>
    <cellStyle name="Comma 2 4 3" xfId="20"/>
    <cellStyle name="Comma 3" xfId="9"/>
    <cellStyle name="Comma 4" xfId="7"/>
    <cellStyle name="Comma 4 2" xfId="21"/>
    <cellStyle name="Comma 5" xfId="12"/>
    <cellStyle name="Comma 6" xfId="16"/>
    <cellStyle name="Normal" xfId="0" builtinId="0"/>
    <cellStyle name="Normal 2" xfId="4"/>
    <cellStyle name="Normal 2 2" xfId="6"/>
    <cellStyle name="Normal 2 3" xfId="14"/>
    <cellStyle name="Normal 2 4" xfId="19"/>
    <cellStyle name="Normal 3" xfId="8"/>
    <cellStyle name="Normal 4" xfId="11"/>
    <cellStyle name="Normal 5" xfId="15"/>
    <cellStyle name="Percent" xfId="2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CFSP%202024%20workings%2024%20%20FINAL%202%20(1)%20ITEMISED%2023-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her/AppData/Local/Temp/594659c0-d94d-4ee0-9b80-8fd797a3893f_Planning%20and%20Budget%20Docs%20(2)%20(2).zip.93f/Planning%20and%20Budget%20Docs/CECM%20ITEMIZ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 Funding"/>
      <sheetName val="Critical"/>
      <sheetName val="pension payment plan"/>
      <sheetName val="RESOURCE ENVELOPE"/>
      <sheetName val="REC &amp; DEV"/>
      <sheetName val="Summarized rec and Dev"/>
      <sheetName val="Arms Share"/>
      <sheetName val="Economic Clasification 1"/>
      <sheetName val="Pending Bills"/>
      <sheetName val="Sheet4"/>
      <sheetName val="Agric2"/>
      <sheetName val="p Admin"/>
      <sheetName val="CS"/>
      <sheetName val="County Attorney"/>
      <sheetName val="Tourism"/>
      <sheetName val="water"/>
      <sheetName val="Roads"/>
      <sheetName val="Trade"/>
      <sheetName val="Energy"/>
      <sheetName val="Indusrialization"/>
      <sheetName val="Lands"/>
      <sheetName val="housing"/>
      <sheetName val="Bungoma"/>
      <sheetName val="kimilili"/>
      <sheetName val="Gender"/>
      <sheetName val="Youth"/>
      <sheetName val="Education and VTC"/>
      <sheetName val="CPSB"/>
      <sheetName val="FINANCE"/>
      <sheetName val="GOV"/>
      <sheetName val="Health"/>
      <sheetName val="ward based"/>
      <sheetName val="Sheet1"/>
    </sheetNames>
    <sheetDataSet>
      <sheetData sheetId="0">
        <row r="91">
          <cell r="D91">
            <v>613924728.75999999</v>
          </cell>
        </row>
      </sheetData>
      <sheetData sheetId="1"/>
      <sheetData sheetId="2"/>
      <sheetData sheetId="3"/>
      <sheetData sheetId="4"/>
      <sheetData sheetId="5">
        <row r="30">
          <cell r="D30">
            <v>405368818.50999999</v>
          </cell>
        </row>
        <row r="31">
          <cell r="D31">
            <v>28642390</v>
          </cell>
        </row>
      </sheetData>
      <sheetData sheetId="6"/>
      <sheetData sheetId="7"/>
      <sheetData sheetId="8"/>
      <sheetData sheetId="9"/>
      <sheetData sheetId="10"/>
      <sheetData sheetId="11">
        <row r="7">
          <cell r="C7">
            <v>333155660.31</v>
          </cell>
        </row>
      </sheetData>
      <sheetData sheetId="12"/>
      <sheetData sheetId="13"/>
      <sheetData sheetId="14">
        <row r="12">
          <cell r="C12">
            <v>5031307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6">
          <cell r="E6">
            <v>20000000</v>
          </cell>
        </row>
        <row r="40">
          <cell r="E40">
            <v>3500000</v>
          </cell>
        </row>
        <row r="43">
          <cell r="E43">
            <v>11050000</v>
          </cell>
        </row>
        <row r="53">
          <cell r="E53">
            <v>5700000</v>
          </cell>
        </row>
        <row r="55">
          <cell r="E55">
            <v>5000000</v>
          </cell>
        </row>
        <row r="68">
          <cell r="E68">
            <v>4000000</v>
          </cell>
        </row>
        <row r="69">
          <cell r="E69">
            <v>5000000</v>
          </cell>
        </row>
        <row r="70">
          <cell r="E70">
            <v>5000000</v>
          </cell>
        </row>
        <row r="71">
          <cell r="E71">
            <v>6000000</v>
          </cell>
        </row>
        <row r="76">
          <cell r="E76">
            <v>6000000</v>
          </cell>
        </row>
        <row r="78">
          <cell r="E78">
            <v>5000000</v>
          </cell>
        </row>
        <row r="79">
          <cell r="E79">
            <v>5000000</v>
          </cell>
        </row>
        <row r="85">
          <cell r="E85">
            <v>5000000</v>
          </cell>
        </row>
        <row r="86">
          <cell r="E86">
            <v>8000000</v>
          </cell>
        </row>
      </sheetData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esther mukhula" id="{94B463F4-D8C2-4967-A54D-3C6823AD27E3}" userId="2ca4cd5543c5ac04" providerId="Windows Live"/>
</personList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5" dT="2024-04-19T12:50:55.14" personId="{94B463F4-D8C2-4967-A54D-3C6823AD27E3}" id="{6CCAC1BF-461C-4914-8951-27812EC170DB}">
    <text>Co funding 106 m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38" dT="2024-04-23T07:01:35.64" personId="{94B463F4-D8C2-4967-A54D-3C6823AD27E3}" id="{90637DAE-EFA0-4F82-AB0E-DA38CEC44E0F}">
    <text xml:space="preserve">Remove
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D5" dT="2024-04-03T11:07:35.59" personId="{94B463F4-D8C2-4967-A54D-3C6823AD27E3}" id="{E2683867-BD14-4A45-86F4-B4C3C1012F3E}">
    <text>Engineers estimates</text>
  </threadedComment>
  <threadedComment ref="C15" dT="2024-04-23T06:40:27.61" personId="{94B463F4-D8C2-4967-A54D-3C6823AD27E3}" id="{F78DC6D3-7FBA-45F3-878E-72FB37544037}">
    <text>Move to development. Infrasructure support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C372" dT="2024-04-28T16:36:01.14" personId="{94B463F4-D8C2-4967-A54D-3C6823AD27E3}" id="{155D8A4A-B63E-4CE0-B66A-CBE6855BE2B2}">
    <text>Chwele fish farm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C41" dT="2024-04-25T10:30:55.41" personId="{94B463F4-D8C2-4967-A54D-3C6823AD27E3}" id="{AEAFDBF3-3DCA-4719-B3FE-0F496C946658}">
    <text>Moved to dev.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C57" dT="2024-04-29T13:59:28.65" personId="{94B463F4-D8C2-4967-A54D-3C6823AD27E3}" id="{FF7A5559-007C-473E-A92A-E05C9433A270}">
    <text>Brigadier 20
Salmond 20</text>
  </threadedComment>
  <threadedComment ref="C59" dT="2024-04-29T14:10:44.70" personId="{94B463F4-D8C2-4967-A54D-3C6823AD27E3}" id="{B8B45F34-CB0E-4EDB-B7D1-4E86380E7E7E}">
    <text>Routine maintenance</text>
  </threadedComment>
  <threadedComment ref="C62" dT="2024-04-29T14:10:15.61" personId="{94B463F4-D8C2-4967-A54D-3C6823AD27E3}" id="{AE9E7B98-D9B2-4D4E-8611-3978939138AB}">
    <text>culvets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C57" dT="2024-04-29T14:06:13.44" personId="{94B463F4-D8C2-4967-A54D-3C6823AD27E3}" id="{2DB35842-84DC-4AED-B466-28D934733A5A}">
    <text>Policies 5 m</text>
  </threadedComment>
</ThreadedComments>
</file>

<file path=xl/threadedComments/threadedComment8.xml><?xml version="1.0" encoding="utf-8"?>
<ThreadedComments xmlns="http://schemas.microsoft.com/office/spreadsheetml/2018/threadedcomments" xmlns:x="http://schemas.openxmlformats.org/spreadsheetml/2006/main">
  <threadedComment ref="C43" dT="2024-04-28T16:32:55.39" personId="{94B463F4-D8C2-4967-A54D-3C6823AD27E3}" id="{DB0CE1C9-5501-4B00-8E1D-279A61B5609A}">
    <text>Webuye&amp; Chwele</text>
  </threadedComment>
</ThreadedComments>
</file>

<file path=xl/threadedComments/threadedComment9.xml><?xml version="1.0" encoding="utf-8"?>
<ThreadedComments xmlns="http://schemas.microsoft.com/office/spreadsheetml/2018/threadedcomments" xmlns:x="http://schemas.openxmlformats.org/spreadsheetml/2006/main">
  <threadedComment ref="C71" dT="2024-04-29T14:00:42.90" personId="{94B463F4-D8C2-4967-A54D-3C6823AD27E3}" id="{A1468F28-242E-4446-8D9F-5175296BD74D}">
    <text>High altitude +18m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0.bin"/><Relationship Id="rId5" Type="http://schemas.microsoft.com/office/2017/10/relationships/threadedComment" Target="../threadedComments/threadedComment4.xml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1.bin"/><Relationship Id="rId5" Type="http://schemas.microsoft.com/office/2017/10/relationships/threadedComment" Target="../threadedComments/threadedComment5.xml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3.bin"/><Relationship Id="rId5" Type="http://schemas.microsoft.com/office/2017/10/relationships/threadedComment" Target="../threadedComments/threadedComment6.xml"/><Relationship Id="rId4" Type="http://schemas.openxmlformats.org/officeDocument/2006/relationships/comments" Target="../comments6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6.bin"/><Relationship Id="rId5" Type="http://schemas.microsoft.com/office/2017/10/relationships/threadedComment" Target="../threadedComments/threadedComment7.xml"/><Relationship Id="rId4" Type="http://schemas.openxmlformats.org/officeDocument/2006/relationships/comments" Target="../comments8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7.bin"/><Relationship Id="rId5" Type="http://schemas.microsoft.com/office/2017/10/relationships/threadedComment" Target="../threadedComments/threadedComment8.xml"/><Relationship Id="rId4" Type="http://schemas.openxmlformats.org/officeDocument/2006/relationships/comments" Target="../comments9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9.bin"/><Relationship Id="rId4" Type="http://schemas.microsoft.com/office/2017/10/relationships/threadedComment" Target="../threadedComments/threadedComment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Relationship Id="rId4" Type="http://schemas.microsoft.com/office/2017/10/relationships/threadedComment" Target="../threadedComments/threadedComment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2"/>
  <sheetViews>
    <sheetView zoomScale="130" zoomScaleNormal="130" workbookViewId="0">
      <selection activeCell="C32" sqref="C32"/>
    </sheetView>
  </sheetViews>
  <sheetFormatPr defaultColWidth="8.90625" defaultRowHeight="14" x14ac:dyDescent="0.3"/>
  <cols>
    <col min="1" max="1" width="39" style="130" customWidth="1"/>
    <col min="2" max="2" width="21.1796875" style="139" customWidth="1"/>
    <col min="3" max="3" width="19.08984375" style="139" customWidth="1"/>
    <col min="4" max="4" width="21.81640625" style="130" customWidth="1"/>
    <col min="5" max="5" width="22" style="140" customWidth="1"/>
    <col min="6" max="6" width="18.36328125" style="140" customWidth="1"/>
    <col min="7" max="7" width="20.36328125" style="140" customWidth="1"/>
    <col min="8" max="8" width="18.81640625" style="130" customWidth="1"/>
    <col min="9" max="9" width="20.453125" style="130" customWidth="1"/>
    <col min="10" max="10" width="16.81640625" style="130" customWidth="1"/>
    <col min="11" max="11" width="17.453125" style="130" customWidth="1"/>
    <col min="12" max="16384" width="8.90625" style="130"/>
  </cols>
  <sheetData>
    <row r="1" spans="1:11" s="122" customFormat="1" ht="13.75" x14ac:dyDescent="0.25">
      <c r="A1" s="121"/>
      <c r="B1" s="820" t="s">
        <v>1059</v>
      </c>
      <c r="C1" s="820"/>
      <c r="D1" s="820"/>
      <c r="E1" s="818" t="s">
        <v>1060</v>
      </c>
      <c r="F1" s="818"/>
      <c r="G1" s="818"/>
      <c r="H1" s="819" t="s">
        <v>1061</v>
      </c>
      <c r="I1" s="819"/>
      <c r="J1" s="819"/>
    </row>
    <row r="2" spans="1:11" ht="13.75" x14ac:dyDescent="0.25">
      <c r="A2" s="123" t="s">
        <v>1039</v>
      </c>
      <c r="B2" s="124" t="s">
        <v>384</v>
      </c>
      <c r="C2" s="124" t="s">
        <v>385</v>
      </c>
      <c r="D2" s="125" t="s">
        <v>161</v>
      </c>
      <c r="E2" s="126" t="s">
        <v>384</v>
      </c>
      <c r="F2" s="126" t="s">
        <v>385</v>
      </c>
      <c r="G2" s="127" t="s">
        <v>161</v>
      </c>
      <c r="H2" s="128" t="s">
        <v>384</v>
      </c>
      <c r="I2" s="128" t="s">
        <v>385</v>
      </c>
      <c r="J2" s="129" t="s">
        <v>161</v>
      </c>
    </row>
    <row r="3" spans="1:11" ht="13.75" x14ac:dyDescent="0.25">
      <c r="A3" s="131" t="s">
        <v>1040</v>
      </c>
      <c r="B3" s="132">
        <v>370663544.31</v>
      </c>
      <c r="C3" s="132">
        <v>369890609.24999994</v>
      </c>
      <c r="D3" s="133">
        <f>B3+C3</f>
        <v>740554153.55999994</v>
      </c>
      <c r="E3" s="134">
        <f>Classification!E3</f>
        <v>370663544.0000003</v>
      </c>
      <c r="F3" s="134">
        <f>Agriculture!C409</f>
        <v>664590380.52480006</v>
      </c>
      <c r="G3" s="134">
        <f>E3+F3</f>
        <v>1035253924.5248003</v>
      </c>
      <c r="H3" s="135">
        <f>E3-B3</f>
        <v>-0.30999970436096191</v>
      </c>
      <c r="I3" s="193">
        <f t="shared" ref="I3:J18" si="0">F3-C3</f>
        <v>294699771.27480012</v>
      </c>
      <c r="J3" s="135">
        <f t="shared" si="0"/>
        <v>294699770.96480036</v>
      </c>
    </row>
    <row r="4" spans="1:11" ht="13.75" x14ac:dyDescent="0.25">
      <c r="A4" s="131" t="s">
        <v>1041</v>
      </c>
      <c r="B4" s="132">
        <v>1249151497.7209992</v>
      </c>
      <c r="C4" s="132">
        <v>184006245</v>
      </c>
      <c r="D4" s="133">
        <f t="shared" ref="D4:D32" si="1">B4+C4</f>
        <v>1433157742.7209992</v>
      </c>
      <c r="E4" s="134">
        <f>Education!B59+Education!B111</f>
        <v>1253152618</v>
      </c>
      <c r="F4" s="134">
        <f>Education!B73+Education!B121</f>
        <v>177902000</v>
      </c>
      <c r="G4" s="134">
        <f>E4+F4</f>
        <v>1431054618</v>
      </c>
      <c r="H4" s="135">
        <f t="shared" ref="H4:J32" si="2">E4-B4</f>
        <v>4001120.2790007591</v>
      </c>
      <c r="I4" s="135">
        <f t="shared" si="0"/>
        <v>-6104245</v>
      </c>
      <c r="J4" s="135">
        <f t="shared" si="0"/>
        <v>-2103124.7209992409</v>
      </c>
    </row>
    <row r="5" spans="1:11" ht="13.75" x14ac:dyDescent="0.25">
      <c r="A5" s="131" t="s">
        <v>1042</v>
      </c>
      <c r="B5" s="132">
        <v>3169340542.2877498</v>
      </c>
      <c r="C5" s="132">
        <v>63915957</v>
      </c>
      <c r="D5" s="133">
        <f t="shared" si="1"/>
        <v>3233256499.2877498</v>
      </c>
      <c r="E5" s="134">
        <f>Health!C84</f>
        <v>3095396023.3277507</v>
      </c>
      <c r="F5" s="134">
        <f>Health!C93</f>
        <v>73720159.150000006</v>
      </c>
      <c r="G5" s="134">
        <f t="shared" ref="G5:G32" si="3">E5+F5</f>
        <v>3169116182.4777508</v>
      </c>
      <c r="H5" s="135">
        <f t="shared" si="2"/>
        <v>-73944518.959999084</v>
      </c>
      <c r="I5" s="135">
        <f t="shared" si="0"/>
        <v>9804202.150000006</v>
      </c>
      <c r="J5" s="193">
        <f t="shared" si="0"/>
        <v>-64140316.809998989</v>
      </c>
      <c r="K5" s="130">
        <f>107400000</f>
        <v>107400000</v>
      </c>
    </row>
    <row r="6" spans="1:11" ht="13.75" x14ac:dyDescent="0.25">
      <c r="A6" s="131" t="s">
        <v>1043</v>
      </c>
      <c r="B6" s="132">
        <v>925852892.69460058</v>
      </c>
      <c r="C6" s="132">
        <v>0</v>
      </c>
      <c r="D6" s="133">
        <f t="shared" si="1"/>
        <v>925852892.69460058</v>
      </c>
      <c r="E6" s="134">
        <f>Health!C1186+Health!C1282</f>
        <v>1169247400.9425831</v>
      </c>
      <c r="F6" s="134">
        <v>0</v>
      </c>
      <c r="G6" s="134">
        <f t="shared" si="3"/>
        <v>1169247400.9425831</v>
      </c>
      <c r="H6" s="135">
        <f t="shared" si="2"/>
        <v>243394508.2479825</v>
      </c>
      <c r="I6" s="135">
        <f t="shared" si="0"/>
        <v>0</v>
      </c>
      <c r="J6" s="193">
        <f t="shared" si="0"/>
        <v>243394508.2479825</v>
      </c>
    </row>
    <row r="7" spans="1:11" ht="13.75" x14ac:dyDescent="0.25">
      <c r="A7" s="131" t="s">
        <v>310</v>
      </c>
      <c r="B7" s="132">
        <v>2113798</v>
      </c>
      <c r="C7" s="132">
        <v>8906003</v>
      </c>
      <c r="D7" s="133">
        <f t="shared" si="1"/>
        <v>11019801</v>
      </c>
      <c r="E7" s="134">
        <f>Health!C146</f>
        <v>1248350.024</v>
      </c>
      <c r="F7" s="134">
        <f>Health!C152</f>
        <v>8460702.8499999996</v>
      </c>
      <c r="G7" s="134">
        <f t="shared" si="3"/>
        <v>9709052.8739999998</v>
      </c>
      <c r="H7" s="135">
        <f t="shared" si="2"/>
        <v>-865447.97600000002</v>
      </c>
      <c r="I7" s="135">
        <f t="shared" si="0"/>
        <v>-445300.15000000037</v>
      </c>
      <c r="J7" s="193">
        <f t="shared" si="0"/>
        <v>-1310748.1260000002</v>
      </c>
      <c r="K7" s="190">
        <f>H5-107400000</f>
        <v>-181344518.95999908</v>
      </c>
    </row>
    <row r="8" spans="1:11" ht="13.75" x14ac:dyDescent="0.25">
      <c r="A8" s="131" t="s">
        <v>1044</v>
      </c>
      <c r="B8" s="132">
        <v>127391065.92</v>
      </c>
      <c r="C8" s="132">
        <v>722695802.00000012</v>
      </c>
      <c r="D8" s="133">
        <f t="shared" si="1"/>
        <v>850086867.92000008</v>
      </c>
      <c r="E8" s="134">
        <f>Roads!C51</f>
        <v>121360700.00399999</v>
      </c>
      <c r="F8" s="134">
        <f>Roads!C66</f>
        <v>607545893</v>
      </c>
      <c r="G8" s="134">
        <f t="shared" si="3"/>
        <v>728906593.00399995</v>
      </c>
      <c r="H8" s="135">
        <f t="shared" si="2"/>
        <v>-6030365.9160000086</v>
      </c>
      <c r="I8" s="135">
        <f t="shared" si="0"/>
        <v>-115149909.00000012</v>
      </c>
      <c r="J8" s="135">
        <f t="shared" si="0"/>
        <v>-121180274.91600013</v>
      </c>
    </row>
    <row r="9" spans="1:11" ht="13.75" x14ac:dyDescent="0.25">
      <c r="A9" s="131" t="s">
        <v>667</v>
      </c>
      <c r="B9" s="132">
        <v>46678296.975000001</v>
      </c>
      <c r="C9" s="132">
        <v>77834100.5</v>
      </c>
      <c r="D9" s="133">
        <f t="shared" si="1"/>
        <v>124512397.47499999</v>
      </c>
      <c r="E9" s="134">
        <f>Trade!C71</f>
        <v>44256323.519999996</v>
      </c>
      <c r="F9" s="134">
        <f>Trade!C75+Trade!C79</f>
        <v>61417050.5</v>
      </c>
      <c r="G9" s="134">
        <f t="shared" si="3"/>
        <v>105673374.02</v>
      </c>
      <c r="H9" s="135">
        <f t="shared" si="2"/>
        <v>-2421973.4550000057</v>
      </c>
      <c r="I9" s="193">
        <f t="shared" si="0"/>
        <v>-16417050</v>
      </c>
      <c r="J9" s="135">
        <f t="shared" si="0"/>
        <v>-18839023.454999998</v>
      </c>
    </row>
    <row r="10" spans="1:11" ht="13.75" x14ac:dyDescent="0.25">
      <c r="A10" s="131" t="s">
        <v>1045</v>
      </c>
      <c r="B10" s="132">
        <v>0</v>
      </c>
      <c r="C10" s="132">
        <v>121463930</v>
      </c>
      <c r="D10" s="133">
        <f t="shared" si="1"/>
        <v>121463930</v>
      </c>
      <c r="E10" s="134"/>
      <c r="F10" s="134">
        <f>Trade!C74</f>
        <v>30000000</v>
      </c>
      <c r="G10" s="134">
        <f t="shared" si="3"/>
        <v>30000000</v>
      </c>
      <c r="H10" s="135">
        <f t="shared" si="2"/>
        <v>0</v>
      </c>
      <c r="I10" s="135">
        <f t="shared" si="0"/>
        <v>-91463930</v>
      </c>
      <c r="J10" s="135">
        <f t="shared" si="0"/>
        <v>-91463930</v>
      </c>
      <c r="K10" s="190">
        <f>K7+H7</f>
        <v>-182209966.9359991</v>
      </c>
    </row>
    <row r="11" spans="1:11" ht="13.75" x14ac:dyDescent="0.25">
      <c r="A11" s="131" t="s">
        <v>1046</v>
      </c>
      <c r="B11" s="132">
        <v>15456042</v>
      </c>
      <c r="C11" s="132">
        <v>60824541</v>
      </c>
      <c r="D11" s="133">
        <f t="shared" si="1"/>
        <v>76280583</v>
      </c>
      <c r="E11" s="134">
        <f>Trade!C153</f>
        <v>15456042.359999999</v>
      </c>
      <c r="F11" s="134">
        <f>Trade!C159</f>
        <v>60033313.950000003</v>
      </c>
      <c r="G11" s="134">
        <f t="shared" si="3"/>
        <v>75489356.310000002</v>
      </c>
      <c r="H11" s="135">
        <f t="shared" si="2"/>
        <v>0.35999999940395355</v>
      </c>
      <c r="I11" s="135">
        <f t="shared" si="0"/>
        <v>-791227.04999999702</v>
      </c>
      <c r="J11" s="135">
        <f t="shared" si="0"/>
        <v>-791226.68999999762</v>
      </c>
    </row>
    <row r="12" spans="1:11" ht="13.75" x14ac:dyDescent="0.25">
      <c r="A12" s="131" t="s">
        <v>700</v>
      </c>
      <c r="B12" s="132">
        <v>9406356</v>
      </c>
      <c r="C12" s="132">
        <v>90000000</v>
      </c>
      <c r="D12" s="133">
        <f t="shared" si="1"/>
        <v>99406356</v>
      </c>
      <c r="E12" s="134">
        <f>Trade!C231</f>
        <v>9406356</v>
      </c>
      <c r="F12" s="134">
        <f>Trade!C238</f>
        <v>90000000</v>
      </c>
      <c r="G12" s="134">
        <f t="shared" si="3"/>
        <v>99406356</v>
      </c>
      <c r="H12" s="135">
        <f t="shared" si="2"/>
        <v>0</v>
      </c>
      <c r="I12" s="135">
        <f t="shared" si="0"/>
        <v>0</v>
      </c>
      <c r="J12" s="135">
        <f t="shared" si="0"/>
        <v>0</v>
      </c>
    </row>
    <row r="13" spans="1:11" ht="13.75" x14ac:dyDescent="0.25">
      <c r="A13" s="131" t="s">
        <v>386</v>
      </c>
      <c r="B13" s="132">
        <v>50890920.115000002</v>
      </c>
      <c r="C13" s="132">
        <v>9040815</v>
      </c>
      <c r="D13" s="133">
        <f t="shared" si="1"/>
        <v>59931735.115000002</v>
      </c>
      <c r="E13" s="134">
        <f>'Lands &amp;hsing &amp; municipalities'!C56</f>
        <v>59903508</v>
      </c>
      <c r="F13" s="134">
        <f>'Lands &amp;hsing &amp; municipalities'!C66</f>
        <v>7490043.0250000004</v>
      </c>
      <c r="G13" s="134">
        <f t="shared" si="3"/>
        <v>67393551.025000006</v>
      </c>
      <c r="H13" s="135">
        <f t="shared" si="2"/>
        <v>9012587.8849999979</v>
      </c>
      <c r="I13" s="193">
        <f t="shared" si="0"/>
        <v>-1550771.9749999996</v>
      </c>
      <c r="J13" s="135">
        <f t="shared" si="0"/>
        <v>7461815.9100000039</v>
      </c>
      <c r="K13" s="195">
        <f>I3*2</f>
        <v>589399542.54960024</v>
      </c>
    </row>
    <row r="14" spans="1:11" ht="13.75" x14ac:dyDescent="0.25">
      <c r="A14" s="131" t="s">
        <v>380</v>
      </c>
      <c r="B14" s="132">
        <v>18880586.59</v>
      </c>
      <c r="C14" s="132">
        <v>463609970</v>
      </c>
      <c r="D14" s="133">
        <f t="shared" si="1"/>
        <v>482490556.58999997</v>
      </c>
      <c r="E14" s="134">
        <f>'Lands &amp;hsing &amp; municipalities'!C123</f>
        <v>38880587</v>
      </c>
      <c r="F14" s="134">
        <f>'Lands &amp;hsing &amp; municipalities'!C141</f>
        <v>427299481</v>
      </c>
      <c r="G14" s="134">
        <f t="shared" si="3"/>
        <v>466180068</v>
      </c>
      <c r="H14" s="135">
        <f t="shared" si="2"/>
        <v>20000000.41</v>
      </c>
      <c r="I14" s="135">
        <f t="shared" si="0"/>
        <v>-36310489</v>
      </c>
      <c r="J14" s="135">
        <f t="shared" si="0"/>
        <v>-16310488.589999974</v>
      </c>
    </row>
    <row r="15" spans="1:11" ht="13.75" x14ac:dyDescent="0.25">
      <c r="A15" s="131" t="s">
        <v>1047</v>
      </c>
      <c r="B15" s="132">
        <v>93100342.99000001</v>
      </c>
      <c r="C15" s="132">
        <v>120000000</v>
      </c>
      <c r="D15" s="133">
        <f t="shared" si="1"/>
        <v>213100342.99000001</v>
      </c>
      <c r="E15" s="134">
        <f>'Lands &amp;hsing &amp; municipalities'!C239</f>
        <v>85439973</v>
      </c>
      <c r="F15" s="134">
        <f>'Lands &amp;hsing &amp; municipalities'!C251</f>
        <v>66500000</v>
      </c>
      <c r="G15" s="134">
        <f t="shared" si="3"/>
        <v>151939973</v>
      </c>
      <c r="H15" s="135">
        <f t="shared" si="2"/>
        <v>-7660369.9900000095</v>
      </c>
      <c r="I15" s="135">
        <f t="shared" si="0"/>
        <v>-53500000</v>
      </c>
      <c r="J15" s="135">
        <f t="shared" si="0"/>
        <v>-61160369.99000001</v>
      </c>
    </row>
    <row r="16" spans="1:11" ht="13.75" x14ac:dyDescent="0.25">
      <c r="A16" s="131" t="s">
        <v>1048</v>
      </c>
      <c r="B16" s="132">
        <v>78638217.25</v>
      </c>
      <c r="C16" s="132">
        <v>64538823</v>
      </c>
      <c r="D16" s="133">
        <f t="shared" si="1"/>
        <v>143177040.25</v>
      </c>
      <c r="E16" s="134">
        <f>'Lands &amp;hsing &amp; municipalities'!C307</f>
        <v>71048217</v>
      </c>
      <c r="F16" s="134">
        <f>'Lands &amp;hsing &amp; municipalities'!C322</f>
        <v>36611882</v>
      </c>
      <c r="G16" s="134">
        <f t="shared" si="3"/>
        <v>107660099</v>
      </c>
      <c r="H16" s="135">
        <f t="shared" si="2"/>
        <v>-7590000.25</v>
      </c>
      <c r="I16" s="135">
        <f t="shared" si="0"/>
        <v>-27926941</v>
      </c>
      <c r="J16" s="135">
        <f t="shared" si="0"/>
        <v>-35516941.25</v>
      </c>
    </row>
    <row r="17" spans="1:11" ht="13.75" x14ac:dyDescent="0.25">
      <c r="A17" s="131" t="s">
        <v>1049</v>
      </c>
      <c r="B17" s="132">
        <v>318256929.31999999</v>
      </c>
      <c r="C17" s="132">
        <f>-500000000+739688441.5</f>
        <v>239688441.5</v>
      </c>
      <c r="D17" s="133">
        <f t="shared" si="1"/>
        <v>557945370.81999993</v>
      </c>
      <c r="E17" s="134">
        <f>'Tourism &amp; water'!C59</f>
        <v>66256929.200000003</v>
      </c>
      <c r="F17" s="134">
        <f>'Tourism &amp; water'!C69</f>
        <v>572588665</v>
      </c>
      <c r="G17" s="134">
        <f t="shared" si="3"/>
        <v>638845594.20000005</v>
      </c>
      <c r="H17" s="135">
        <f t="shared" si="2"/>
        <v>-252000000.12</v>
      </c>
      <c r="I17" s="193">
        <f t="shared" si="0"/>
        <v>332900223.5</v>
      </c>
      <c r="J17" s="135">
        <f t="shared" si="0"/>
        <v>80900223.380000114</v>
      </c>
    </row>
    <row r="18" spans="1:11" ht="13.75" x14ac:dyDescent="0.25">
      <c r="A18" s="131" t="s">
        <v>1050</v>
      </c>
      <c r="B18" s="132">
        <v>76257997.370000005</v>
      </c>
      <c r="C18" s="132">
        <f>500000000+43601617</f>
        <v>543601617</v>
      </c>
      <c r="D18" s="133">
        <f t="shared" si="1"/>
        <v>619859614.37</v>
      </c>
      <c r="E18" s="134">
        <f>'Tourism &amp; water'!C126</f>
        <v>76257997</v>
      </c>
      <c r="F18" s="134">
        <f>'Tourism &amp; water'!C140</f>
        <v>531789689.35000002</v>
      </c>
      <c r="G18" s="134">
        <f t="shared" si="3"/>
        <v>608047686.35000002</v>
      </c>
      <c r="H18" s="135">
        <f t="shared" si="2"/>
        <v>-0.37000000476837158</v>
      </c>
      <c r="I18" s="193">
        <f t="shared" si="0"/>
        <v>-11811927.649999976</v>
      </c>
      <c r="J18" s="135">
        <f t="shared" si="0"/>
        <v>-11811928.019999981</v>
      </c>
    </row>
    <row r="19" spans="1:11" ht="13.75" x14ac:dyDescent="0.25">
      <c r="A19" s="131" t="s">
        <v>381</v>
      </c>
      <c r="B19" s="132">
        <v>69533611.759000003</v>
      </c>
      <c r="C19" s="132">
        <v>34684054.5</v>
      </c>
      <c r="D19" s="133">
        <f t="shared" si="1"/>
        <v>104217666.259</v>
      </c>
      <c r="E19" s="134">
        <f>Gender!C69</f>
        <v>67934783</v>
      </c>
      <c r="F19" s="134">
        <f>Gender!C71</f>
        <v>18164662.699999999</v>
      </c>
      <c r="G19" s="134">
        <f t="shared" si="3"/>
        <v>86099445.700000003</v>
      </c>
      <c r="H19" s="135">
        <f t="shared" si="2"/>
        <v>-1598828.7590000033</v>
      </c>
      <c r="I19" s="193">
        <f t="shared" si="2"/>
        <v>-16519391.800000001</v>
      </c>
      <c r="J19" s="135">
        <f t="shared" si="2"/>
        <v>-18118220.559</v>
      </c>
      <c r="K19" s="130" t="s">
        <v>1192</v>
      </c>
    </row>
    <row r="20" spans="1:11" ht="13.75" x14ac:dyDescent="0.25">
      <c r="A20" s="131" t="s">
        <v>762</v>
      </c>
      <c r="B20" s="132">
        <v>0</v>
      </c>
      <c r="C20" s="132">
        <v>15441660</v>
      </c>
      <c r="D20" s="133">
        <f t="shared" si="1"/>
        <v>15441660</v>
      </c>
      <c r="E20" s="134"/>
      <c r="F20" s="134">
        <f>Gender!C75</f>
        <v>10000000</v>
      </c>
      <c r="G20" s="134">
        <f t="shared" si="3"/>
        <v>10000000</v>
      </c>
      <c r="H20" s="135">
        <f t="shared" si="2"/>
        <v>0</v>
      </c>
      <c r="I20" s="135">
        <f t="shared" si="2"/>
        <v>-5441660</v>
      </c>
      <c r="J20" s="135">
        <f t="shared" si="2"/>
        <v>-5441660</v>
      </c>
    </row>
    <row r="21" spans="1:11" ht="13.75" x14ac:dyDescent="0.25">
      <c r="A21" s="131" t="s">
        <v>1051</v>
      </c>
      <c r="B21" s="132">
        <v>0</v>
      </c>
      <c r="C21" s="132">
        <v>9437615</v>
      </c>
      <c r="D21" s="133">
        <f t="shared" si="1"/>
        <v>9437615</v>
      </c>
      <c r="E21" s="134"/>
      <c r="F21" s="134">
        <f>Gender!C76</f>
        <v>10000000</v>
      </c>
      <c r="G21" s="134">
        <f t="shared" si="3"/>
        <v>10000000</v>
      </c>
      <c r="H21" s="135">
        <f t="shared" si="2"/>
        <v>0</v>
      </c>
      <c r="I21" s="135">
        <f t="shared" si="2"/>
        <v>562385</v>
      </c>
      <c r="J21" s="135">
        <f t="shared" si="2"/>
        <v>562385</v>
      </c>
    </row>
    <row r="22" spans="1:11" ht="13.75" x14ac:dyDescent="0.25">
      <c r="A22" s="131" t="s">
        <v>1052</v>
      </c>
      <c r="B22" s="132">
        <v>24096013.399999999</v>
      </c>
      <c r="C22" s="132">
        <v>11386387</v>
      </c>
      <c r="D22" s="133">
        <f t="shared" si="1"/>
        <v>35482400.399999999</v>
      </c>
      <c r="E22" s="134">
        <f>Gender!C139</f>
        <v>23096013</v>
      </c>
      <c r="F22" s="134">
        <f>Gender!C145+Gender!C146</f>
        <v>28817067.649999999</v>
      </c>
      <c r="G22" s="134">
        <f t="shared" si="3"/>
        <v>51913080.649999999</v>
      </c>
      <c r="H22" s="135">
        <f t="shared" si="2"/>
        <v>-1000000.3999999985</v>
      </c>
      <c r="I22" s="135">
        <f t="shared" si="2"/>
        <v>17430680.649999999</v>
      </c>
      <c r="J22" s="135">
        <f t="shared" si="2"/>
        <v>16430680.25</v>
      </c>
    </row>
    <row r="23" spans="1:11" ht="13.75" x14ac:dyDescent="0.25">
      <c r="A23" s="131" t="s">
        <v>764</v>
      </c>
      <c r="B23" s="132">
        <v>0</v>
      </c>
      <c r="C23" s="132">
        <v>24984326</v>
      </c>
      <c r="D23" s="133">
        <f t="shared" si="1"/>
        <v>24984326</v>
      </c>
      <c r="E23" s="136"/>
      <c r="F23" s="134">
        <f>Gender!C149</f>
        <v>10000000</v>
      </c>
      <c r="G23" s="134">
        <f t="shared" si="3"/>
        <v>10000000</v>
      </c>
      <c r="H23" s="135">
        <f t="shared" si="2"/>
        <v>0</v>
      </c>
      <c r="I23" s="135">
        <f t="shared" si="2"/>
        <v>-14984326</v>
      </c>
      <c r="J23" s="135">
        <f t="shared" si="2"/>
        <v>-14984326</v>
      </c>
    </row>
    <row r="24" spans="1:11" ht="13.75" x14ac:dyDescent="0.25">
      <c r="A24" s="131" t="s">
        <v>1053</v>
      </c>
      <c r="B24" s="132">
        <v>934104998.05499995</v>
      </c>
      <c r="C24" s="132">
        <v>163907574.99999988</v>
      </c>
      <c r="D24" s="133">
        <f t="shared" si="1"/>
        <v>1098012573.0549998</v>
      </c>
      <c r="E24" s="134">
        <f>Finance!B453</f>
        <v>1137659735</v>
      </c>
      <c r="F24" s="134">
        <f>Finance!B454</f>
        <v>155718949.44999999</v>
      </c>
      <c r="G24" s="134">
        <f t="shared" si="3"/>
        <v>1293378684.45</v>
      </c>
      <c r="H24" s="135">
        <f t="shared" si="2"/>
        <v>203554736.94500005</v>
      </c>
      <c r="I24" s="193">
        <f t="shared" si="2"/>
        <v>-8188625.5499998927</v>
      </c>
      <c r="J24" s="135">
        <f t="shared" si="2"/>
        <v>195366111.39500022</v>
      </c>
    </row>
    <row r="25" spans="1:11" ht="13.75" x14ac:dyDescent="0.25">
      <c r="A25" s="131" t="s">
        <v>1054</v>
      </c>
      <c r="B25" s="132">
        <v>796473019.79999995</v>
      </c>
      <c r="C25" s="132">
        <v>21654809</v>
      </c>
      <c r="D25" s="133">
        <f t="shared" si="1"/>
        <v>818127828.79999995</v>
      </c>
      <c r="E25" s="134">
        <f>'Public Admin'!C81</f>
        <v>893199731</v>
      </c>
      <c r="F25" s="134">
        <f>'Public Admin'!C98</f>
        <v>11191092.449999999</v>
      </c>
      <c r="G25" s="134">
        <f t="shared" si="3"/>
        <v>904390823.45000005</v>
      </c>
      <c r="H25" s="184">
        <f t="shared" si="2"/>
        <v>96726711.200000048</v>
      </c>
      <c r="I25" s="193">
        <f t="shared" si="2"/>
        <v>-10463716.550000001</v>
      </c>
      <c r="J25" s="135">
        <f t="shared" si="2"/>
        <v>86262994.650000095</v>
      </c>
    </row>
    <row r="26" spans="1:11" ht="13.75" x14ac:dyDescent="0.25">
      <c r="A26" s="131" t="s">
        <v>383</v>
      </c>
      <c r="B26" s="132">
        <v>6480000</v>
      </c>
      <c r="C26" s="132">
        <v>0</v>
      </c>
      <c r="D26" s="133">
        <f t="shared" si="1"/>
        <v>6480000</v>
      </c>
      <c r="E26" s="134">
        <f>'Public Admin'!C90</f>
        <v>12265905</v>
      </c>
      <c r="F26" s="134"/>
      <c r="G26" s="134">
        <f t="shared" si="3"/>
        <v>12265905</v>
      </c>
      <c r="H26" s="184">
        <f t="shared" si="2"/>
        <v>5785905</v>
      </c>
      <c r="I26" s="135">
        <f t="shared" si="2"/>
        <v>0</v>
      </c>
      <c r="J26" s="135">
        <f t="shared" si="2"/>
        <v>5785905</v>
      </c>
    </row>
    <row r="27" spans="1:11" ht="13.75" x14ac:dyDescent="0.25">
      <c r="A27" s="131" t="s">
        <v>1055</v>
      </c>
      <c r="B27" s="132">
        <v>105800599</v>
      </c>
      <c r="C27" s="132">
        <v>0</v>
      </c>
      <c r="D27" s="133">
        <f t="shared" si="1"/>
        <v>105800599</v>
      </c>
      <c r="E27" s="134">
        <f>'Public Admin'!C172+'Public Admin'!C176+'Public Admin'!C181+'Public Admin'!C250</f>
        <v>81900848</v>
      </c>
      <c r="F27" s="134"/>
      <c r="G27" s="134">
        <f t="shared" si="3"/>
        <v>81900848</v>
      </c>
      <c r="H27" s="135">
        <f t="shared" si="2"/>
        <v>-23899751</v>
      </c>
      <c r="I27" s="135">
        <f t="shared" si="2"/>
        <v>0</v>
      </c>
      <c r="J27" s="135">
        <f t="shared" si="2"/>
        <v>-23899751</v>
      </c>
    </row>
    <row r="28" spans="1:11" x14ac:dyDescent="0.3">
      <c r="A28" s="131" t="s">
        <v>1056</v>
      </c>
      <c r="B28" s="132">
        <v>405368818.50999999</v>
      </c>
      <c r="C28" s="132">
        <v>0</v>
      </c>
      <c r="D28" s="133">
        <f t="shared" si="1"/>
        <v>405368818.50999999</v>
      </c>
      <c r="E28" s="134">
        <f>Gov.!C76</f>
        <v>480368819</v>
      </c>
      <c r="F28" s="134"/>
      <c r="G28" s="134">
        <f t="shared" si="3"/>
        <v>480368819</v>
      </c>
      <c r="H28" s="135">
        <f t="shared" si="2"/>
        <v>75000000.49000001</v>
      </c>
      <c r="I28" s="135">
        <f t="shared" si="2"/>
        <v>0</v>
      </c>
      <c r="J28" s="135">
        <f t="shared" si="2"/>
        <v>75000000.49000001</v>
      </c>
    </row>
    <row r="29" spans="1:11" x14ac:dyDescent="0.3">
      <c r="A29" s="131" t="s">
        <v>1057</v>
      </c>
      <c r="B29" s="132">
        <v>28642390</v>
      </c>
      <c r="C29" s="132">
        <v>0</v>
      </c>
      <c r="D29" s="133">
        <f t="shared" si="1"/>
        <v>28642390</v>
      </c>
      <c r="E29" s="134">
        <f>Gov.!C149</f>
        <v>38642390</v>
      </c>
      <c r="F29" s="134"/>
      <c r="G29" s="134">
        <f t="shared" si="3"/>
        <v>38642390</v>
      </c>
      <c r="H29" s="135">
        <f t="shared" si="2"/>
        <v>10000000</v>
      </c>
      <c r="I29" s="135">
        <f t="shared" si="2"/>
        <v>0</v>
      </c>
      <c r="J29" s="135">
        <f t="shared" si="2"/>
        <v>10000000</v>
      </c>
    </row>
    <row r="30" spans="1:11" ht="13.75" x14ac:dyDescent="0.25">
      <c r="A30" s="131" t="s">
        <v>545</v>
      </c>
      <c r="B30" s="132">
        <v>50690038.515000001</v>
      </c>
      <c r="C30" s="132">
        <v>21433032</v>
      </c>
      <c r="D30" s="133">
        <f t="shared" si="1"/>
        <v>72123070.515000001</v>
      </c>
      <c r="E30" s="134">
        <f>CPSB!C53</f>
        <v>46910124</v>
      </c>
      <c r="F30" s="134">
        <f>CPSB!C57</f>
        <v>16018306.4</v>
      </c>
      <c r="G30" s="134">
        <f t="shared" si="3"/>
        <v>62928430.399999999</v>
      </c>
      <c r="H30" s="135">
        <f t="shared" si="2"/>
        <v>-3779914.5150000006</v>
      </c>
      <c r="I30" s="135">
        <f t="shared" si="2"/>
        <v>-5414725.5999999996</v>
      </c>
      <c r="J30" s="135">
        <f t="shared" si="2"/>
        <v>-9194640.1150000021</v>
      </c>
    </row>
    <row r="31" spans="1:11" ht="13.75" x14ac:dyDescent="0.25">
      <c r="A31" s="131" t="s">
        <v>382</v>
      </c>
      <c r="B31" s="132">
        <v>1073147000</v>
      </c>
      <c r="C31" s="132">
        <v>86861462</v>
      </c>
      <c r="D31" s="133">
        <f t="shared" si="1"/>
        <v>1160008462</v>
      </c>
      <c r="E31" s="134">
        <f>Assembly!C147</f>
        <v>1073147000</v>
      </c>
      <c r="F31" s="134">
        <f>Assembly!C155</f>
        <v>190000000</v>
      </c>
      <c r="G31" s="134">
        <f t="shared" si="3"/>
        <v>1263147000</v>
      </c>
      <c r="H31" s="135">
        <f t="shared" si="2"/>
        <v>0</v>
      </c>
      <c r="I31" s="135">
        <f t="shared" si="2"/>
        <v>103138538</v>
      </c>
      <c r="J31" s="135">
        <f t="shared" si="2"/>
        <v>103138538</v>
      </c>
    </row>
    <row r="32" spans="1:11" ht="13.75" x14ac:dyDescent="0.25">
      <c r="A32" s="131" t="s">
        <v>94</v>
      </c>
      <c r="B32" s="132"/>
      <c r="C32" s="132">
        <v>777849457.51999998</v>
      </c>
      <c r="D32" s="133">
        <f t="shared" si="1"/>
        <v>777849457.51999998</v>
      </c>
      <c r="E32" s="136">
        <v>0</v>
      </c>
      <c r="F32" s="134">
        <f>D32-163924729+466075271-53999999.976</f>
        <v>1025999999.544</v>
      </c>
      <c r="G32" s="134">
        <f t="shared" si="3"/>
        <v>1025999999.544</v>
      </c>
      <c r="H32" s="135">
        <f t="shared" si="2"/>
        <v>0</v>
      </c>
      <c r="I32" s="135">
        <f t="shared" si="2"/>
        <v>248150542.02400005</v>
      </c>
      <c r="J32" s="135">
        <f t="shared" si="2"/>
        <v>248150542.02400005</v>
      </c>
    </row>
    <row r="33" spans="1:10" s="122" customFormat="1" ht="13.75" x14ac:dyDescent="0.25">
      <c r="A33" s="123" t="s">
        <v>1058</v>
      </c>
      <c r="B33" s="124">
        <f>SUM(B3:B32)</f>
        <v>10046415518.582348</v>
      </c>
      <c r="C33" s="124">
        <f>SUM(C3:C32)</f>
        <v>4307657232.2700005</v>
      </c>
      <c r="D33" s="124">
        <f>SUM(D3:D32)</f>
        <v>14354072750.85235</v>
      </c>
      <c r="E33" s="137">
        <f>SUM(E3:E32)</f>
        <v>10333099917.378334</v>
      </c>
      <c r="F33" s="137">
        <f t="shared" ref="F33:G33" si="4">SUM(F3:F32)</f>
        <v>4891859338.5437994</v>
      </c>
      <c r="G33" s="137">
        <f t="shared" si="4"/>
        <v>15224959255.922138</v>
      </c>
      <c r="H33" s="138">
        <f t="shared" ref="H33" si="5">SUM(H3:H32)</f>
        <v>286684398.79598451</v>
      </c>
      <c r="I33" s="138">
        <f t="shared" ref="I33" si="6">SUM(I3:I32)</f>
        <v>584202106.27380025</v>
      </c>
      <c r="J33" s="138">
        <f t="shared" ref="J33" si="7">SUM(J3:J32)</f>
        <v>870886505.069785</v>
      </c>
    </row>
    <row r="35" spans="1:10" ht="13.75" x14ac:dyDescent="0.25">
      <c r="D35" s="183"/>
      <c r="J35" s="190">
        <v>508142311.72098148</v>
      </c>
    </row>
    <row r="36" spans="1:10" ht="13.75" x14ac:dyDescent="0.25">
      <c r="B36" s="692"/>
      <c r="C36" s="692"/>
      <c r="G36" s="196">
        <f>'Resource envelope'!E57</f>
        <v>15224959256.070005</v>
      </c>
    </row>
    <row r="37" spans="1:10" ht="13.75" x14ac:dyDescent="0.25">
      <c r="A37" s="182"/>
      <c r="B37" s="692"/>
      <c r="C37" s="692"/>
      <c r="D37" s="130">
        <v>369890609.24999994</v>
      </c>
      <c r="G37" s="196"/>
    </row>
    <row r="38" spans="1:10" ht="13.75" x14ac:dyDescent="0.25">
      <c r="B38" s="692"/>
      <c r="C38" s="692"/>
      <c r="G38" s="196">
        <f>G36-G33</f>
        <v>0.14786720275878906</v>
      </c>
      <c r="H38" s="182"/>
    </row>
    <row r="39" spans="1:10" ht="13.75" x14ac:dyDescent="0.25">
      <c r="B39" s="692"/>
      <c r="C39" s="692"/>
    </row>
    <row r="40" spans="1:10" ht="13.75" x14ac:dyDescent="0.25">
      <c r="B40" s="692"/>
      <c r="C40" s="692"/>
      <c r="D40" s="182"/>
    </row>
    <row r="41" spans="1:10" ht="13.75" x14ac:dyDescent="0.25">
      <c r="B41" s="692"/>
      <c r="C41" s="692"/>
      <c r="D41" s="182"/>
      <c r="G41" s="682"/>
      <c r="H41" s="182">
        <f>G41-G40</f>
        <v>0</v>
      </c>
    </row>
    <row r="42" spans="1:10" ht="13.75" x14ac:dyDescent="0.25">
      <c r="B42" s="692"/>
      <c r="C42" s="692"/>
      <c r="D42" s="182"/>
      <c r="F42" s="140">
        <f>0.05*200000000</f>
        <v>10000000</v>
      </c>
    </row>
    <row r="43" spans="1:10" ht="13.75" x14ac:dyDescent="0.25">
      <c r="B43" s="692"/>
      <c r="C43" s="692"/>
      <c r="H43" s="182"/>
    </row>
    <row r="44" spans="1:10" ht="13.75" x14ac:dyDescent="0.25">
      <c r="B44" s="692"/>
      <c r="C44" s="692"/>
      <c r="D44" s="182"/>
      <c r="I44" s="190"/>
    </row>
    <row r="45" spans="1:10" ht="13.75" x14ac:dyDescent="0.25">
      <c r="B45" s="692"/>
      <c r="C45" s="692"/>
    </row>
    <row r="46" spans="1:10" ht="13.75" x14ac:dyDescent="0.25">
      <c r="B46" s="692"/>
      <c r="C46" s="692"/>
    </row>
    <row r="47" spans="1:10" ht="13.75" x14ac:dyDescent="0.25">
      <c r="B47" s="692"/>
      <c r="C47" s="692"/>
    </row>
    <row r="48" spans="1:10" ht="15.65" x14ac:dyDescent="0.25">
      <c r="B48" s="692"/>
      <c r="C48" s="692"/>
      <c r="D48" s="693"/>
      <c r="F48" s="140" t="s">
        <v>338</v>
      </c>
    </row>
    <row r="49" spans="2:4" ht="13.75" x14ac:dyDescent="0.25">
      <c r="B49" s="692"/>
      <c r="C49" s="692"/>
      <c r="D49" s="182"/>
    </row>
    <row r="50" spans="2:4" ht="13.75" x14ac:dyDescent="0.25">
      <c r="B50" s="692"/>
      <c r="C50" s="692"/>
    </row>
    <row r="51" spans="2:4" ht="13.75" x14ac:dyDescent="0.25">
      <c r="B51" s="692"/>
      <c r="C51" s="692"/>
    </row>
    <row r="52" spans="2:4" ht="13.75" x14ac:dyDescent="0.25">
      <c r="B52" s="692"/>
      <c r="C52" s="692"/>
      <c r="D52" s="190"/>
    </row>
  </sheetData>
  <mergeCells count="3">
    <mergeCell ref="E1:G1"/>
    <mergeCell ref="H1:J1"/>
    <mergeCell ref="B1:D1"/>
  </mergeCells>
  <pageMargins left="0.7" right="0.7" top="0.75" bottom="0.75" header="0.3" footer="0.3"/>
  <pageSetup orientation="portrait" r:id="rId1"/>
  <customProperties>
    <customPr name="LastActive" r:id="rId2"/>
  </customProperties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R412"/>
  <sheetViews>
    <sheetView topLeftCell="A406" zoomScale="170" zoomScaleNormal="170" workbookViewId="0">
      <selection activeCell="C411" sqref="C411"/>
    </sheetView>
  </sheetViews>
  <sheetFormatPr defaultColWidth="9.08984375" defaultRowHeight="15.5" x14ac:dyDescent="0.35"/>
  <cols>
    <col min="1" max="1" width="10.6328125" style="11" customWidth="1"/>
    <col min="2" max="2" width="48.453125" style="11" customWidth="1"/>
    <col min="3" max="3" width="20.36328125" style="272" customWidth="1"/>
    <col min="4" max="4" width="18.453125" style="272" customWidth="1"/>
    <col min="5" max="5" width="18.08984375" style="272" customWidth="1"/>
    <col min="6" max="6" width="15.90625" style="11" customWidth="1"/>
    <col min="7" max="7" width="13.6328125" style="11" customWidth="1"/>
    <col min="8" max="16384" width="9.08984375" style="11"/>
  </cols>
  <sheetData>
    <row r="1" spans="1:16372" ht="15.65" x14ac:dyDescent="0.3">
      <c r="A1" s="829" t="s">
        <v>564</v>
      </c>
      <c r="B1" s="829"/>
      <c r="C1" s="829"/>
      <c r="D1" s="829"/>
      <c r="E1" s="829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5"/>
      <c r="BL1" s="235"/>
      <c r="BM1" s="235"/>
      <c r="BN1" s="235"/>
      <c r="BO1" s="235"/>
      <c r="BP1" s="235"/>
      <c r="BQ1" s="235"/>
      <c r="BR1" s="235"/>
      <c r="BS1" s="235"/>
      <c r="BT1" s="235"/>
      <c r="BU1" s="235"/>
      <c r="BV1" s="235"/>
      <c r="BW1" s="235"/>
      <c r="BX1" s="235"/>
      <c r="BY1" s="235"/>
      <c r="BZ1" s="235"/>
      <c r="CA1" s="235"/>
      <c r="CB1" s="235"/>
      <c r="CC1" s="235"/>
      <c r="CD1" s="235"/>
      <c r="CE1" s="235"/>
      <c r="CF1" s="235"/>
      <c r="CG1" s="235"/>
      <c r="CH1" s="235"/>
      <c r="CI1" s="235"/>
      <c r="CJ1" s="235"/>
      <c r="CK1" s="235"/>
      <c r="CL1" s="235"/>
      <c r="CM1" s="235"/>
      <c r="CN1" s="235"/>
      <c r="CO1" s="235"/>
      <c r="CP1" s="235"/>
      <c r="CQ1" s="235"/>
      <c r="CR1" s="235"/>
      <c r="CS1" s="235"/>
      <c r="CT1" s="235"/>
      <c r="CU1" s="235"/>
      <c r="CV1" s="235"/>
      <c r="CW1" s="235"/>
      <c r="CX1" s="235"/>
      <c r="CY1" s="235"/>
      <c r="CZ1" s="235"/>
      <c r="DA1" s="235"/>
      <c r="DB1" s="235"/>
      <c r="DC1" s="235"/>
      <c r="DD1" s="235"/>
      <c r="DE1" s="235"/>
      <c r="DF1" s="235"/>
      <c r="DG1" s="235"/>
      <c r="DH1" s="235"/>
      <c r="DI1" s="235"/>
      <c r="DJ1" s="235"/>
      <c r="DK1" s="235"/>
      <c r="DL1" s="235"/>
      <c r="DM1" s="235"/>
      <c r="DN1" s="235"/>
      <c r="DO1" s="235"/>
      <c r="DP1" s="235"/>
      <c r="DQ1" s="235"/>
      <c r="DR1" s="235"/>
      <c r="DS1" s="235"/>
      <c r="DT1" s="235"/>
      <c r="DU1" s="235"/>
      <c r="DV1" s="235"/>
      <c r="DW1" s="235"/>
      <c r="DX1" s="235"/>
      <c r="DY1" s="235"/>
      <c r="DZ1" s="235"/>
      <c r="EA1" s="235"/>
      <c r="EB1" s="235"/>
      <c r="EC1" s="235"/>
      <c r="ED1" s="235"/>
      <c r="EE1" s="235"/>
      <c r="EF1" s="235"/>
      <c r="EG1" s="235"/>
      <c r="EH1" s="235"/>
      <c r="EI1" s="235"/>
      <c r="EJ1" s="235"/>
      <c r="EK1" s="235"/>
      <c r="EL1" s="235"/>
      <c r="EM1" s="235"/>
      <c r="EN1" s="235"/>
      <c r="EO1" s="235"/>
      <c r="EP1" s="235"/>
      <c r="EQ1" s="235"/>
      <c r="ER1" s="235"/>
      <c r="ES1" s="235"/>
      <c r="ET1" s="235"/>
      <c r="EU1" s="235"/>
      <c r="EV1" s="235"/>
      <c r="EW1" s="235"/>
      <c r="EX1" s="235"/>
      <c r="EY1" s="235"/>
      <c r="EZ1" s="235"/>
      <c r="FA1" s="235"/>
      <c r="FB1" s="235"/>
      <c r="FC1" s="235"/>
      <c r="FD1" s="235"/>
      <c r="FE1" s="235"/>
      <c r="FF1" s="235"/>
      <c r="FG1" s="235"/>
      <c r="FH1" s="235"/>
      <c r="FI1" s="235"/>
      <c r="FJ1" s="235"/>
      <c r="FK1" s="235"/>
      <c r="FL1" s="235"/>
      <c r="FM1" s="235"/>
      <c r="FN1" s="235"/>
      <c r="FO1" s="235"/>
      <c r="FP1" s="235"/>
      <c r="FQ1" s="235"/>
      <c r="FR1" s="235"/>
      <c r="FS1" s="235"/>
      <c r="FT1" s="235"/>
      <c r="FU1" s="235"/>
      <c r="FV1" s="235"/>
      <c r="FW1" s="235"/>
      <c r="FX1" s="235"/>
      <c r="FY1" s="235"/>
      <c r="FZ1" s="235"/>
      <c r="GA1" s="235"/>
      <c r="GB1" s="235"/>
      <c r="GC1" s="235"/>
      <c r="GD1" s="235"/>
      <c r="GE1" s="235"/>
      <c r="GF1" s="235"/>
      <c r="GG1" s="235"/>
      <c r="GH1" s="235"/>
      <c r="GI1" s="235"/>
      <c r="GJ1" s="235"/>
      <c r="GK1" s="235"/>
      <c r="GL1" s="235"/>
      <c r="GM1" s="235"/>
      <c r="GN1" s="235"/>
      <c r="GO1" s="235"/>
      <c r="GP1" s="235"/>
      <c r="GQ1" s="235"/>
      <c r="GR1" s="235"/>
      <c r="GS1" s="235"/>
      <c r="GT1" s="235"/>
      <c r="GU1" s="235"/>
      <c r="GV1" s="235"/>
      <c r="GW1" s="235"/>
      <c r="GX1" s="235"/>
      <c r="GY1" s="235"/>
      <c r="GZ1" s="235"/>
      <c r="HA1" s="235"/>
      <c r="HB1" s="235"/>
      <c r="HC1" s="235"/>
      <c r="HD1" s="235"/>
      <c r="HE1" s="235"/>
      <c r="HF1" s="235"/>
      <c r="HG1" s="235"/>
      <c r="HH1" s="235"/>
      <c r="HI1" s="235"/>
      <c r="HJ1" s="235"/>
      <c r="HK1" s="235"/>
      <c r="HL1" s="235"/>
      <c r="HM1" s="235"/>
      <c r="HN1" s="235"/>
      <c r="HO1" s="235"/>
      <c r="HP1" s="235"/>
      <c r="HQ1" s="235"/>
      <c r="HR1" s="235"/>
      <c r="HS1" s="235"/>
      <c r="HT1" s="235"/>
      <c r="HU1" s="235"/>
      <c r="HV1" s="235"/>
      <c r="HW1" s="235"/>
      <c r="HX1" s="235"/>
      <c r="HY1" s="235"/>
      <c r="HZ1" s="235"/>
      <c r="IA1" s="235"/>
      <c r="IB1" s="235"/>
      <c r="IC1" s="235"/>
      <c r="ID1" s="235"/>
      <c r="IE1" s="235"/>
      <c r="IF1" s="235"/>
      <c r="IG1" s="235"/>
      <c r="IH1" s="235"/>
      <c r="II1" s="235"/>
      <c r="IJ1" s="235"/>
      <c r="IK1" s="235"/>
      <c r="IL1" s="235"/>
      <c r="IM1" s="235"/>
      <c r="IN1" s="235"/>
      <c r="IO1" s="235"/>
      <c r="IP1" s="235"/>
      <c r="IQ1" s="235"/>
      <c r="IR1" s="235"/>
      <c r="IS1" s="235"/>
      <c r="IT1" s="235"/>
      <c r="IU1" s="235"/>
      <c r="IV1" s="235"/>
      <c r="IW1" s="235"/>
      <c r="IX1" s="235"/>
      <c r="IY1" s="235"/>
      <c r="IZ1" s="235"/>
      <c r="JA1" s="235"/>
      <c r="JB1" s="235"/>
      <c r="JC1" s="235"/>
      <c r="JD1" s="235"/>
      <c r="JE1" s="235"/>
      <c r="JF1" s="235"/>
      <c r="JG1" s="235"/>
      <c r="JH1" s="235"/>
      <c r="JI1" s="235"/>
      <c r="JJ1" s="235"/>
      <c r="JK1" s="235"/>
      <c r="JL1" s="235"/>
      <c r="JM1" s="235"/>
      <c r="JN1" s="235"/>
      <c r="JO1" s="235"/>
      <c r="JP1" s="235"/>
      <c r="JQ1" s="235"/>
      <c r="JR1" s="235"/>
      <c r="JS1" s="235"/>
      <c r="JT1" s="235"/>
      <c r="JU1" s="235"/>
      <c r="JV1" s="235"/>
      <c r="JW1" s="235"/>
      <c r="JX1" s="235"/>
      <c r="JY1" s="235"/>
      <c r="JZ1" s="235"/>
      <c r="KA1" s="235"/>
      <c r="KB1" s="235"/>
      <c r="KC1" s="235"/>
      <c r="KD1" s="235"/>
      <c r="KE1" s="235"/>
      <c r="KF1" s="235"/>
      <c r="KG1" s="235"/>
      <c r="KH1" s="235"/>
      <c r="KI1" s="235"/>
      <c r="KJ1" s="235"/>
      <c r="KK1" s="235"/>
      <c r="KL1" s="235"/>
      <c r="KM1" s="235"/>
      <c r="KN1" s="235"/>
      <c r="KO1" s="235"/>
      <c r="KP1" s="235"/>
      <c r="KQ1" s="235"/>
      <c r="KR1" s="235"/>
      <c r="KS1" s="235"/>
      <c r="KT1" s="235"/>
      <c r="KU1" s="235"/>
      <c r="KV1" s="235"/>
      <c r="KW1" s="235"/>
      <c r="KX1" s="235"/>
      <c r="KY1" s="235"/>
      <c r="KZ1" s="235"/>
      <c r="LA1" s="235"/>
      <c r="LB1" s="235"/>
      <c r="LC1" s="235"/>
      <c r="LD1" s="235"/>
      <c r="LE1" s="235"/>
      <c r="LF1" s="235"/>
      <c r="LG1" s="235"/>
      <c r="LH1" s="235"/>
      <c r="LI1" s="235"/>
      <c r="LJ1" s="235"/>
      <c r="LK1" s="235"/>
      <c r="LL1" s="235"/>
      <c r="LM1" s="235"/>
      <c r="LN1" s="235"/>
      <c r="LO1" s="235"/>
      <c r="LP1" s="235"/>
      <c r="LQ1" s="235"/>
      <c r="LR1" s="235"/>
      <c r="LS1" s="235"/>
      <c r="LT1" s="235"/>
      <c r="LU1" s="235"/>
      <c r="LV1" s="235"/>
      <c r="LW1" s="235"/>
      <c r="LX1" s="235"/>
      <c r="LY1" s="235"/>
      <c r="LZ1" s="235"/>
      <c r="MA1" s="235"/>
      <c r="MB1" s="235"/>
      <c r="MC1" s="235"/>
      <c r="MD1" s="235"/>
      <c r="ME1" s="235"/>
      <c r="MF1" s="235"/>
      <c r="MG1" s="235"/>
      <c r="MH1" s="235"/>
      <c r="MI1" s="235"/>
      <c r="MJ1" s="235"/>
      <c r="MK1" s="235"/>
      <c r="ML1" s="235"/>
      <c r="MM1" s="235"/>
      <c r="MN1" s="235"/>
      <c r="MO1" s="235"/>
      <c r="MP1" s="235"/>
      <c r="MQ1" s="235"/>
      <c r="MR1" s="235"/>
      <c r="MS1" s="235"/>
      <c r="MT1" s="235"/>
      <c r="MU1" s="235"/>
      <c r="MV1" s="235"/>
      <c r="MW1" s="235"/>
      <c r="MX1" s="235"/>
      <c r="MY1" s="235"/>
      <c r="MZ1" s="235"/>
      <c r="NA1" s="235"/>
      <c r="NB1" s="235"/>
      <c r="NC1" s="235"/>
      <c r="ND1" s="235"/>
      <c r="NE1" s="235"/>
      <c r="NF1" s="235"/>
      <c r="NG1" s="235"/>
      <c r="NH1" s="235"/>
      <c r="NI1" s="235"/>
      <c r="NJ1" s="235"/>
      <c r="NK1" s="235"/>
      <c r="NL1" s="235"/>
      <c r="NM1" s="235"/>
      <c r="NN1" s="235"/>
      <c r="NO1" s="235"/>
      <c r="NP1" s="235"/>
      <c r="NQ1" s="235"/>
      <c r="NR1" s="235"/>
      <c r="NS1" s="235"/>
      <c r="NT1" s="235"/>
      <c r="NU1" s="235"/>
      <c r="NV1" s="235"/>
      <c r="NW1" s="235"/>
      <c r="NX1" s="235"/>
      <c r="NY1" s="235"/>
      <c r="NZ1" s="235"/>
      <c r="OA1" s="235"/>
      <c r="OB1" s="235"/>
      <c r="OC1" s="235"/>
      <c r="OD1" s="235"/>
      <c r="OE1" s="235"/>
      <c r="OF1" s="235"/>
      <c r="OG1" s="235"/>
      <c r="OH1" s="235"/>
      <c r="OI1" s="235"/>
      <c r="OJ1" s="235"/>
      <c r="OK1" s="235"/>
      <c r="OL1" s="235"/>
      <c r="OM1" s="235"/>
      <c r="ON1" s="235"/>
      <c r="OO1" s="235"/>
      <c r="OP1" s="235"/>
      <c r="OQ1" s="235"/>
      <c r="OR1" s="235"/>
      <c r="OS1" s="235"/>
      <c r="OT1" s="235"/>
      <c r="OU1" s="235"/>
      <c r="OV1" s="235"/>
      <c r="OW1" s="235"/>
      <c r="OX1" s="235"/>
      <c r="OY1" s="235"/>
      <c r="OZ1" s="235"/>
      <c r="PA1" s="235"/>
      <c r="PB1" s="235"/>
      <c r="PC1" s="235"/>
      <c r="PD1" s="235"/>
      <c r="PE1" s="235"/>
      <c r="PF1" s="235"/>
      <c r="PG1" s="235"/>
      <c r="PH1" s="235"/>
      <c r="PI1" s="235"/>
      <c r="PJ1" s="235"/>
      <c r="PK1" s="235"/>
      <c r="PL1" s="235"/>
      <c r="PM1" s="235"/>
      <c r="PN1" s="235"/>
      <c r="PO1" s="235"/>
      <c r="PP1" s="235"/>
      <c r="PQ1" s="235"/>
      <c r="PR1" s="235"/>
      <c r="PS1" s="235"/>
      <c r="PT1" s="235"/>
      <c r="PU1" s="235"/>
      <c r="PV1" s="235"/>
      <c r="PW1" s="235"/>
      <c r="PX1" s="235"/>
      <c r="PY1" s="235"/>
      <c r="PZ1" s="235"/>
      <c r="QA1" s="235"/>
      <c r="QB1" s="235"/>
      <c r="QC1" s="235"/>
      <c r="QD1" s="235"/>
      <c r="QE1" s="235"/>
      <c r="QF1" s="235"/>
      <c r="QG1" s="235"/>
      <c r="QH1" s="235"/>
      <c r="QI1" s="235"/>
      <c r="QJ1" s="235"/>
      <c r="QK1" s="235"/>
      <c r="QL1" s="235"/>
      <c r="QM1" s="235"/>
      <c r="QN1" s="235"/>
      <c r="QO1" s="235"/>
      <c r="QP1" s="235"/>
      <c r="QQ1" s="235"/>
      <c r="QR1" s="235"/>
      <c r="QS1" s="235"/>
      <c r="QT1" s="235"/>
      <c r="QU1" s="235"/>
      <c r="QV1" s="235"/>
      <c r="QW1" s="235"/>
      <c r="QX1" s="235"/>
      <c r="QY1" s="235"/>
      <c r="QZ1" s="235"/>
      <c r="RA1" s="235"/>
      <c r="RB1" s="235"/>
      <c r="RC1" s="235"/>
      <c r="RD1" s="235"/>
      <c r="RE1" s="235"/>
      <c r="RF1" s="235"/>
      <c r="RG1" s="235"/>
      <c r="RH1" s="235"/>
      <c r="RI1" s="235"/>
      <c r="RJ1" s="235"/>
      <c r="RK1" s="235"/>
      <c r="RL1" s="235"/>
      <c r="RM1" s="235"/>
      <c r="RN1" s="235"/>
      <c r="RO1" s="235"/>
      <c r="RP1" s="235"/>
      <c r="RQ1" s="235"/>
      <c r="RR1" s="235"/>
      <c r="RS1" s="235"/>
      <c r="RT1" s="235"/>
      <c r="RU1" s="235"/>
      <c r="RV1" s="235"/>
      <c r="RW1" s="235"/>
      <c r="RX1" s="235"/>
      <c r="RY1" s="235"/>
      <c r="RZ1" s="235"/>
      <c r="SA1" s="235"/>
      <c r="SB1" s="235"/>
      <c r="SC1" s="235"/>
      <c r="SD1" s="235"/>
      <c r="SE1" s="235"/>
      <c r="SF1" s="235"/>
      <c r="SG1" s="235"/>
      <c r="SH1" s="235"/>
      <c r="SI1" s="235"/>
      <c r="SJ1" s="235"/>
      <c r="SK1" s="235"/>
      <c r="SL1" s="235"/>
      <c r="SM1" s="235"/>
      <c r="SN1" s="235"/>
      <c r="SO1" s="235"/>
      <c r="SP1" s="235"/>
      <c r="SQ1" s="235"/>
      <c r="SR1" s="235"/>
      <c r="SS1" s="235"/>
      <c r="ST1" s="235"/>
      <c r="SU1" s="235"/>
      <c r="SV1" s="235"/>
      <c r="SW1" s="235"/>
      <c r="SX1" s="235"/>
      <c r="SY1" s="235"/>
      <c r="SZ1" s="235"/>
      <c r="TA1" s="235"/>
      <c r="TB1" s="235"/>
      <c r="TC1" s="235"/>
      <c r="TD1" s="235"/>
      <c r="TE1" s="235"/>
      <c r="TF1" s="235"/>
      <c r="TG1" s="235"/>
      <c r="TH1" s="235"/>
      <c r="TI1" s="235"/>
      <c r="TJ1" s="235"/>
      <c r="TK1" s="235"/>
      <c r="TL1" s="235"/>
      <c r="TM1" s="235"/>
      <c r="TN1" s="235"/>
      <c r="TO1" s="235"/>
      <c r="TP1" s="235"/>
      <c r="TQ1" s="235"/>
      <c r="TR1" s="235"/>
      <c r="TS1" s="235"/>
      <c r="TT1" s="235"/>
      <c r="TU1" s="235"/>
      <c r="TV1" s="235"/>
      <c r="TW1" s="235"/>
      <c r="TX1" s="235"/>
      <c r="TY1" s="235"/>
      <c r="TZ1" s="235"/>
      <c r="UA1" s="235"/>
      <c r="UB1" s="235"/>
      <c r="UC1" s="235"/>
      <c r="UD1" s="235"/>
      <c r="UE1" s="235"/>
      <c r="UF1" s="235"/>
      <c r="UG1" s="235"/>
      <c r="UH1" s="235"/>
      <c r="UI1" s="235"/>
      <c r="UJ1" s="235"/>
      <c r="UK1" s="235"/>
      <c r="UL1" s="235"/>
      <c r="UM1" s="235"/>
      <c r="UN1" s="235"/>
      <c r="UO1" s="235"/>
      <c r="UP1" s="235"/>
      <c r="UQ1" s="235"/>
      <c r="UR1" s="235"/>
      <c r="US1" s="235"/>
      <c r="UT1" s="235"/>
      <c r="UU1" s="235"/>
      <c r="UV1" s="235"/>
      <c r="UW1" s="235"/>
      <c r="UX1" s="235"/>
      <c r="UY1" s="235"/>
      <c r="UZ1" s="235"/>
      <c r="VA1" s="235"/>
      <c r="VB1" s="235"/>
      <c r="VC1" s="235"/>
      <c r="VD1" s="235"/>
      <c r="VE1" s="235"/>
      <c r="VF1" s="235"/>
      <c r="VG1" s="235"/>
      <c r="VH1" s="235"/>
      <c r="VI1" s="235"/>
      <c r="VJ1" s="235"/>
      <c r="VK1" s="235"/>
      <c r="VL1" s="235"/>
      <c r="VM1" s="235"/>
      <c r="VN1" s="235"/>
      <c r="VO1" s="235"/>
      <c r="VP1" s="235"/>
      <c r="VQ1" s="235"/>
      <c r="VR1" s="235"/>
      <c r="VS1" s="235"/>
      <c r="VT1" s="235"/>
      <c r="VU1" s="235"/>
      <c r="VV1" s="235"/>
      <c r="VW1" s="235"/>
      <c r="VX1" s="235"/>
      <c r="VY1" s="235"/>
      <c r="VZ1" s="235"/>
      <c r="WA1" s="235"/>
      <c r="WB1" s="235"/>
      <c r="WC1" s="235"/>
      <c r="WD1" s="235"/>
      <c r="WE1" s="235"/>
      <c r="WF1" s="235"/>
      <c r="WG1" s="235"/>
      <c r="WH1" s="235"/>
      <c r="WI1" s="235"/>
      <c r="WJ1" s="235"/>
      <c r="WK1" s="235"/>
      <c r="WL1" s="235"/>
      <c r="WM1" s="235"/>
      <c r="WN1" s="235"/>
      <c r="WO1" s="235"/>
      <c r="WP1" s="235"/>
      <c r="WQ1" s="235"/>
      <c r="WR1" s="235"/>
      <c r="WS1" s="235"/>
      <c r="WT1" s="235"/>
      <c r="WU1" s="235"/>
      <c r="WV1" s="235"/>
      <c r="WW1" s="235"/>
      <c r="WX1" s="235"/>
      <c r="WY1" s="235"/>
      <c r="WZ1" s="235"/>
      <c r="XA1" s="235"/>
      <c r="XB1" s="235"/>
      <c r="XC1" s="235"/>
      <c r="XD1" s="235"/>
      <c r="XE1" s="235"/>
      <c r="XF1" s="235"/>
      <c r="XG1" s="235"/>
      <c r="XH1" s="235"/>
      <c r="XI1" s="235"/>
      <c r="XJ1" s="235"/>
      <c r="XK1" s="235"/>
      <c r="XL1" s="235"/>
      <c r="XM1" s="235"/>
      <c r="XN1" s="235"/>
      <c r="XO1" s="235"/>
      <c r="XP1" s="235"/>
      <c r="XQ1" s="235"/>
      <c r="XR1" s="235"/>
      <c r="XS1" s="235"/>
      <c r="XT1" s="235"/>
      <c r="XU1" s="235"/>
      <c r="XV1" s="235"/>
      <c r="XW1" s="235"/>
      <c r="XX1" s="235"/>
      <c r="XY1" s="235"/>
      <c r="XZ1" s="235"/>
      <c r="YA1" s="235"/>
      <c r="YB1" s="235"/>
      <c r="YC1" s="235"/>
      <c r="YD1" s="235"/>
      <c r="YE1" s="235"/>
      <c r="YF1" s="235"/>
      <c r="YG1" s="235"/>
      <c r="YH1" s="235"/>
      <c r="YI1" s="235"/>
      <c r="YJ1" s="235"/>
      <c r="YK1" s="235"/>
      <c r="YL1" s="235"/>
      <c r="YM1" s="235"/>
      <c r="YN1" s="235"/>
      <c r="YO1" s="235"/>
      <c r="YP1" s="235"/>
      <c r="YQ1" s="235"/>
      <c r="YR1" s="235"/>
      <c r="YS1" s="235"/>
      <c r="YT1" s="235"/>
      <c r="YU1" s="235"/>
      <c r="YV1" s="235"/>
      <c r="YW1" s="235"/>
      <c r="YX1" s="235"/>
      <c r="YY1" s="235"/>
      <c r="YZ1" s="235"/>
      <c r="ZA1" s="235"/>
      <c r="ZB1" s="235"/>
      <c r="ZC1" s="235"/>
      <c r="ZD1" s="235"/>
      <c r="ZE1" s="235"/>
      <c r="ZF1" s="235"/>
      <c r="ZG1" s="235"/>
      <c r="ZH1" s="235"/>
      <c r="ZI1" s="235"/>
      <c r="ZJ1" s="235"/>
      <c r="ZK1" s="235"/>
      <c r="ZL1" s="235"/>
      <c r="ZM1" s="235"/>
      <c r="ZN1" s="235"/>
      <c r="ZO1" s="235"/>
      <c r="ZP1" s="235"/>
      <c r="ZQ1" s="235"/>
      <c r="ZR1" s="235"/>
      <c r="ZS1" s="235"/>
      <c r="ZT1" s="235"/>
      <c r="ZU1" s="235"/>
      <c r="ZV1" s="235"/>
      <c r="ZW1" s="235"/>
      <c r="ZX1" s="235"/>
      <c r="ZY1" s="235"/>
      <c r="ZZ1" s="235"/>
      <c r="AAA1" s="235"/>
      <c r="AAB1" s="235"/>
      <c r="AAC1" s="235"/>
      <c r="AAD1" s="235"/>
      <c r="AAE1" s="235"/>
      <c r="AAF1" s="235"/>
      <c r="AAG1" s="235"/>
      <c r="AAH1" s="235"/>
      <c r="AAI1" s="235"/>
      <c r="AAJ1" s="235"/>
      <c r="AAK1" s="235"/>
      <c r="AAL1" s="235"/>
      <c r="AAM1" s="235"/>
      <c r="AAN1" s="235"/>
      <c r="AAO1" s="235"/>
      <c r="AAP1" s="235"/>
      <c r="AAQ1" s="235"/>
      <c r="AAR1" s="235"/>
      <c r="AAS1" s="235"/>
      <c r="AAT1" s="235"/>
      <c r="AAU1" s="235"/>
      <c r="AAV1" s="235"/>
      <c r="AAW1" s="235"/>
      <c r="AAX1" s="235"/>
      <c r="AAY1" s="235"/>
      <c r="AAZ1" s="235"/>
      <c r="ABA1" s="235"/>
      <c r="ABB1" s="235"/>
      <c r="ABC1" s="235"/>
      <c r="ABD1" s="235"/>
      <c r="ABE1" s="235"/>
      <c r="ABF1" s="235"/>
      <c r="ABG1" s="235"/>
      <c r="ABH1" s="235"/>
      <c r="ABI1" s="235"/>
      <c r="ABJ1" s="235"/>
      <c r="ABK1" s="235"/>
      <c r="ABL1" s="235"/>
      <c r="ABM1" s="235"/>
      <c r="ABN1" s="235"/>
      <c r="ABO1" s="235"/>
      <c r="ABP1" s="235"/>
      <c r="ABQ1" s="235"/>
      <c r="ABR1" s="235"/>
      <c r="ABS1" s="235"/>
      <c r="ABT1" s="235"/>
      <c r="ABU1" s="235"/>
      <c r="ABV1" s="235"/>
      <c r="ABW1" s="235"/>
      <c r="ABX1" s="235"/>
      <c r="ABY1" s="235"/>
      <c r="ABZ1" s="235"/>
      <c r="ACA1" s="235"/>
      <c r="ACB1" s="235"/>
      <c r="ACC1" s="235"/>
      <c r="ACD1" s="235"/>
      <c r="ACE1" s="235"/>
      <c r="ACF1" s="235"/>
      <c r="ACG1" s="235"/>
      <c r="ACH1" s="235"/>
      <c r="ACI1" s="235"/>
      <c r="ACJ1" s="235"/>
      <c r="ACK1" s="235"/>
      <c r="ACL1" s="235"/>
      <c r="ACM1" s="235"/>
      <c r="ACN1" s="235"/>
      <c r="ACO1" s="235"/>
      <c r="ACP1" s="235"/>
      <c r="ACQ1" s="235"/>
      <c r="ACR1" s="235"/>
      <c r="ACS1" s="235"/>
      <c r="ACT1" s="235"/>
      <c r="ACU1" s="235"/>
      <c r="ACV1" s="235"/>
      <c r="ACW1" s="235"/>
      <c r="ACX1" s="235"/>
      <c r="ACY1" s="235"/>
      <c r="ACZ1" s="235"/>
      <c r="ADA1" s="235"/>
      <c r="ADB1" s="235"/>
      <c r="ADC1" s="235"/>
      <c r="ADD1" s="235"/>
      <c r="ADE1" s="235"/>
      <c r="ADF1" s="235"/>
      <c r="ADG1" s="235"/>
      <c r="ADH1" s="235"/>
      <c r="ADI1" s="235"/>
      <c r="ADJ1" s="235"/>
      <c r="ADK1" s="235"/>
      <c r="ADL1" s="235"/>
      <c r="ADM1" s="235"/>
      <c r="ADN1" s="235"/>
      <c r="ADO1" s="235"/>
      <c r="ADP1" s="235"/>
      <c r="ADQ1" s="235"/>
      <c r="ADR1" s="235"/>
      <c r="ADS1" s="235"/>
      <c r="ADT1" s="235"/>
      <c r="ADU1" s="235"/>
      <c r="ADV1" s="235"/>
      <c r="ADW1" s="235"/>
      <c r="ADX1" s="235"/>
      <c r="ADY1" s="235"/>
      <c r="ADZ1" s="235"/>
      <c r="AEA1" s="235"/>
      <c r="AEB1" s="235"/>
      <c r="AEC1" s="235"/>
      <c r="AED1" s="235"/>
      <c r="AEE1" s="235"/>
      <c r="AEF1" s="235"/>
      <c r="AEG1" s="235"/>
      <c r="AEH1" s="235"/>
      <c r="AEI1" s="235"/>
      <c r="AEJ1" s="235"/>
      <c r="AEK1" s="235"/>
      <c r="AEL1" s="235"/>
      <c r="AEM1" s="235"/>
      <c r="AEN1" s="235"/>
      <c r="AEO1" s="235"/>
      <c r="AEP1" s="235"/>
      <c r="AEQ1" s="235"/>
      <c r="AER1" s="235"/>
      <c r="AES1" s="235"/>
      <c r="AET1" s="235"/>
      <c r="AEU1" s="235"/>
      <c r="AEV1" s="235"/>
      <c r="AEW1" s="235"/>
      <c r="AEX1" s="235"/>
      <c r="AEY1" s="235"/>
      <c r="AEZ1" s="235"/>
      <c r="AFA1" s="235"/>
      <c r="AFB1" s="235"/>
      <c r="AFC1" s="235"/>
      <c r="AFD1" s="235"/>
      <c r="AFE1" s="235"/>
      <c r="AFF1" s="235"/>
      <c r="AFG1" s="235"/>
      <c r="AFH1" s="235"/>
      <c r="AFI1" s="235"/>
      <c r="AFJ1" s="235"/>
      <c r="AFK1" s="235"/>
      <c r="AFL1" s="235"/>
      <c r="AFM1" s="235"/>
      <c r="AFN1" s="235"/>
      <c r="AFO1" s="235"/>
      <c r="AFP1" s="235"/>
      <c r="AFQ1" s="235"/>
      <c r="AFR1" s="235"/>
      <c r="AFS1" s="235"/>
      <c r="AFT1" s="235"/>
      <c r="AFU1" s="235"/>
      <c r="AFV1" s="235"/>
      <c r="AFW1" s="235"/>
      <c r="AFX1" s="235"/>
      <c r="AFY1" s="235"/>
      <c r="AFZ1" s="235"/>
      <c r="AGA1" s="235"/>
      <c r="AGB1" s="235"/>
      <c r="AGC1" s="235"/>
      <c r="AGD1" s="235"/>
      <c r="AGE1" s="235"/>
      <c r="AGF1" s="235"/>
      <c r="AGG1" s="235"/>
      <c r="AGH1" s="235"/>
      <c r="AGI1" s="235"/>
      <c r="AGJ1" s="235"/>
      <c r="AGK1" s="235"/>
      <c r="AGL1" s="235"/>
      <c r="AGM1" s="235"/>
      <c r="AGN1" s="235"/>
      <c r="AGO1" s="235"/>
      <c r="AGP1" s="235"/>
      <c r="AGQ1" s="235"/>
      <c r="AGR1" s="235"/>
      <c r="AGS1" s="235"/>
      <c r="AGT1" s="235"/>
      <c r="AGU1" s="235"/>
      <c r="AGV1" s="235"/>
      <c r="AGW1" s="235"/>
      <c r="AGX1" s="235"/>
      <c r="AGY1" s="235"/>
      <c r="AGZ1" s="235"/>
      <c r="AHA1" s="235"/>
      <c r="AHB1" s="235"/>
      <c r="AHC1" s="235"/>
      <c r="AHD1" s="235"/>
      <c r="AHE1" s="235"/>
      <c r="AHF1" s="235"/>
      <c r="AHG1" s="235"/>
      <c r="AHH1" s="235"/>
      <c r="AHI1" s="235"/>
      <c r="AHJ1" s="235"/>
      <c r="AHK1" s="235"/>
      <c r="AHL1" s="235"/>
      <c r="AHM1" s="235"/>
      <c r="AHN1" s="235"/>
      <c r="AHO1" s="235"/>
      <c r="AHP1" s="235"/>
      <c r="AHQ1" s="235"/>
      <c r="AHR1" s="235"/>
      <c r="AHS1" s="235"/>
      <c r="AHT1" s="235"/>
      <c r="AHU1" s="235"/>
      <c r="AHV1" s="235"/>
      <c r="AHW1" s="235"/>
      <c r="AHX1" s="235"/>
      <c r="AHY1" s="235"/>
      <c r="AHZ1" s="235"/>
      <c r="AIA1" s="235"/>
      <c r="AIB1" s="235"/>
      <c r="AIC1" s="235"/>
      <c r="AID1" s="235"/>
      <c r="AIE1" s="235"/>
      <c r="AIF1" s="235"/>
      <c r="AIG1" s="235"/>
      <c r="AIH1" s="235"/>
      <c r="AII1" s="235"/>
      <c r="AIJ1" s="235"/>
      <c r="AIK1" s="235"/>
      <c r="AIL1" s="235"/>
      <c r="AIM1" s="235"/>
      <c r="AIN1" s="235"/>
      <c r="AIO1" s="235"/>
      <c r="AIP1" s="235"/>
      <c r="AIQ1" s="235"/>
      <c r="AIR1" s="235"/>
      <c r="AIS1" s="235"/>
      <c r="AIT1" s="235"/>
      <c r="AIU1" s="235"/>
      <c r="AIV1" s="235"/>
      <c r="AIW1" s="235"/>
      <c r="AIX1" s="235"/>
      <c r="AIY1" s="235"/>
      <c r="AIZ1" s="235"/>
      <c r="AJA1" s="235"/>
      <c r="AJB1" s="235"/>
      <c r="AJC1" s="235"/>
      <c r="AJD1" s="235"/>
      <c r="AJE1" s="235"/>
      <c r="AJF1" s="235"/>
      <c r="AJG1" s="235"/>
      <c r="AJH1" s="235"/>
      <c r="AJI1" s="235"/>
      <c r="AJJ1" s="235"/>
      <c r="AJK1" s="235"/>
      <c r="AJL1" s="235"/>
      <c r="AJM1" s="235"/>
      <c r="AJN1" s="235"/>
      <c r="AJO1" s="235"/>
      <c r="AJP1" s="235"/>
      <c r="AJQ1" s="235"/>
      <c r="AJR1" s="235"/>
      <c r="AJS1" s="235"/>
      <c r="AJT1" s="235"/>
      <c r="AJU1" s="235"/>
      <c r="AJV1" s="235"/>
      <c r="AJW1" s="235"/>
      <c r="AJX1" s="235"/>
      <c r="AJY1" s="235"/>
      <c r="AJZ1" s="235"/>
      <c r="AKA1" s="235"/>
      <c r="AKB1" s="235"/>
      <c r="AKC1" s="235"/>
      <c r="AKD1" s="235"/>
      <c r="AKE1" s="235"/>
      <c r="AKF1" s="235"/>
      <c r="AKG1" s="235"/>
      <c r="AKH1" s="235"/>
      <c r="AKI1" s="235"/>
      <c r="AKJ1" s="235"/>
      <c r="AKK1" s="235"/>
      <c r="AKL1" s="235"/>
      <c r="AKM1" s="235"/>
      <c r="AKN1" s="235"/>
      <c r="AKO1" s="235"/>
      <c r="AKP1" s="235"/>
      <c r="AKQ1" s="235"/>
      <c r="AKR1" s="235"/>
      <c r="AKS1" s="235"/>
      <c r="AKT1" s="235"/>
      <c r="AKU1" s="235"/>
      <c r="AKV1" s="235"/>
      <c r="AKW1" s="235"/>
      <c r="AKX1" s="235"/>
      <c r="AKY1" s="235"/>
      <c r="AKZ1" s="235"/>
      <c r="ALA1" s="235"/>
      <c r="ALB1" s="235"/>
      <c r="ALC1" s="235"/>
      <c r="ALD1" s="235"/>
      <c r="ALE1" s="235"/>
      <c r="ALF1" s="235"/>
      <c r="ALG1" s="235"/>
      <c r="ALH1" s="235"/>
      <c r="ALI1" s="235"/>
      <c r="ALJ1" s="235"/>
      <c r="ALK1" s="235"/>
      <c r="ALL1" s="235"/>
      <c r="ALM1" s="235"/>
      <c r="ALN1" s="235"/>
      <c r="ALO1" s="235"/>
      <c r="ALP1" s="235"/>
      <c r="ALQ1" s="235"/>
      <c r="ALR1" s="235"/>
      <c r="ALS1" s="235"/>
      <c r="ALT1" s="235"/>
      <c r="ALU1" s="235"/>
      <c r="ALV1" s="235"/>
      <c r="ALW1" s="235"/>
      <c r="ALX1" s="235"/>
      <c r="ALY1" s="235"/>
      <c r="ALZ1" s="235"/>
      <c r="AMA1" s="235"/>
      <c r="AMB1" s="235"/>
      <c r="AMC1" s="235"/>
      <c r="AMD1" s="235"/>
      <c r="AME1" s="235"/>
      <c r="AMF1" s="235"/>
      <c r="AMG1" s="235"/>
      <c r="AMH1" s="235"/>
      <c r="AMI1" s="235"/>
      <c r="AMJ1" s="235"/>
      <c r="AMK1" s="235"/>
      <c r="AML1" s="235"/>
      <c r="AMM1" s="235"/>
      <c r="AMN1" s="235"/>
      <c r="AMO1" s="235"/>
      <c r="AMP1" s="235"/>
      <c r="AMQ1" s="235"/>
      <c r="AMR1" s="235"/>
      <c r="AMS1" s="235"/>
      <c r="AMT1" s="235"/>
      <c r="AMU1" s="235"/>
      <c r="AMV1" s="235"/>
      <c r="AMW1" s="235"/>
      <c r="AMX1" s="235"/>
      <c r="AMY1" s="235"/>
      <c r="AMZ1" s="235"/>
      <c r="ANA1" s="235"/>
      <c r="ANB1" s="235"/>
      <c r="ANC1" s="235"/>
      <c r="AND1" s="235"/>
      <c r="ANE1" s="235"/>
      <c r="ANF1" s="235"/>
      <c r="ANG1" s="235"/>
      <c r="ANH1" s="235"/>
      <c r="ANI1" s="235"/>
      <c r="ANJ1" s="235"/>
      <c r="ANK1" s="235"/>
      <c r="ANL1" s="235"/>
      <c r="ANM1" s="235"/>
      <c r="ANN1" s="235"/>
      <c r="ANO1" s="235"/>
      <c r="ANP1" s="235"/>
      <c r="ANQ1" s="235"/>
      <c r="ANR1" s="235"/>
      <c r="ANS1" s="235"/>
      <c r="ANT1" s="235"/>
      <c r="ANU1" s="235"/>
      <c r="ANV1" s="235"/>
      <c r="ANW1" s="235"/>
      <c r="ANX1" s="235"/>
      <c r="ANY1" s="235"/>
      <c r="ANZ1" s="235"/>
      <c r="AOA1" s="235"/>
      <c r="AOB1" s="235"/>
      <c r="AOC1" s="235"/>
      <c r="AOD1" s="235"/>
      <c r="AOE1" s="235"/>
      <c r="AOF1" s="235"/>
      <c r="AOG1" s="235"/>
      <c r="AOH1" s="235"/>
      <c r="AOI1" s="235"/>
      <c r="AOJ1" s="235"/>
      <c r="AOK1" s="235"/>
      <c r="AOL1" s="235"/>
      <c r="AOM1" s="235"/>
      <c r="AON1" s="235"/>
      <c r="AOO1" s="235"/>
      <c r="AOP1" s="235"/>
      <c r="AOQ1" s="235"/>
      <c r="AOR1" s="235"/>
      <c r="AOS1" s="235"/>
      <c r="AOT1" s="235"/>
      <c r="AOU1" s="235"/>
      <c r="AOV1" s="235"/>
      <c r="AOW1" s="235"/>
      <c r="AOX1" s="235"/>
      <c r="AOY1" s="235"/>
      <c r="AOZ1" s="235"/>
      <c r="APA1" s="235"/>
      <c r="APB1" s="235"/>
      <c r="APC1" s="235"/>
      <c r="APD1" s="235"/>
      <c r="APE1" s="235"/>
      <c r="APF1" s="235"/>
      <c r="APG1" s="235"/>
      <c r="APH1" s="235"/>
      <c r="API1" s="235"/>
      <c r="APJ1" s="235"/>
      <c r="APK1" s="235"/>
      <c r="APL1" s="235"/>
      <c r="APM1" s="235"/>
      <c r="APN1" s="235"/>
      <c r="APO1" s="235"/>
      <c r="APP1" s="235"/>
      <c r="APQ1" s="235"/>
      <c r="APR1" s="235"/>
      <c r="APS1" s="235"/>
      <c r="APT1" s="235"/>
      <c r="APU1" s="235"/>
      <c r="APV1" s="235"/>
      <c r="APW1" s="235"/>
      <c r="APX1" s="235"/>
      <c r="APY1" s="235"/>
      <c r="APZ1" s="235"/>
      <c r="AQA1" s="235"/>
      <c r="AQB1" s="235"/>
      <c r="AQC1" s="235"/>
      <c r="AQD1" s="235"/>
      <c r="AQE1" s="235"/>
      <c r="AQF1" s="235"/>
      <c r="AQG1" s="235"/>
      <c r="AQH1" s="235"/>
      <c r="AQI1" s="235"/>
      <c r="AQJ1" s="235"/>
      <c r="AQK1" s="235"/>
      <c r="AQL1" s="235"/>
      <c r="AQM1" s="235"/>
      <c r="AQN1" s="235"/>
      <c r="AQO1" s="235"/>
      <c r="AQP1" s="235"/>
      <c r="AQQ1" s="235"/>
      <c r="AQR1" s="235"/>
      <c r="AQS1" s="235"/>
      <c r="AQT1" s="235"/>
      <c r="AQU1" s="235"/>
      <c r="AQV1" s="235"/>
      <c r="AQW1" s="235"/>
      <c r="AQX1" s="235"/>
      <c r="AQY1" s="235"/>
      <c r="AQZ1" s="235"/>
      <c r="ARA1" s="235"/>
      <c r="ARB1" s="235"/>
      <c r="ARC1" s="235"/>
      <c r="ARD1" s="235"/>
      <c r="ARE1" s="235"/>
      <c r="ARF1" s="235"/>
      <c r="ARG1" s="235"/>
      <c r="ARH1" s="235"/>
      <c r="ARI1" s="235"/>
      <c r="ARJ1" s="235"/>
      <c r="ARK1" s="235"/>
      <c r="ARL1" s="235"/>
      <c r="ARM1" s="235"/>
      <c r="ARN1" s="235"/>
      <c r="ARO1" s="235"/>
      <c r="ARP1" s="235"/>
      <c r="ARQ1" s="235"/>
      <c r="ARR1" s="235"/>
      <c r="ARS1" s="235"/>
      <c r="ART1" s="235"/>
      <c r="ARU1" s="235"/>
      <c r="ARV1" s="235"/>
      <c r="ARW1" s="235"/>
      <c r="ARX1" s="235"/>
      <c r="ARY1" s="235"/>
      <c r="ARZ1" s="235"/>
      <c r="ASA1" s="235"/>
      <c r="ASB1" s="235"/>
      <c r="ASC1" s="235"/>
      <c r="ASD1" s="235"/>
      <c r="ASE1" s="235"/>
      <c r="ASF1" s="235"/>
      <c r="ASG1" s="235"/>
      <c r="ASH1" s="235"/>
      <c r="ASI1" s="235"/>
      <c r="ASJ1" s="235"/>
      <c r="ASK1" s="235"/>
      <c r="ASL1" s="235"/>
      <c r="ASM1" s="235"/>
      <c r="ASN1" s="235"/>
      <c r="ASO1" s="235"/>
      <c r="ASP1" s="235"/>
      <c r="ASQ1" s="235"/>
      <c r="ASR1" s="235"/>
      <c r="ASS1" s="235"/>
      <c r="AST1" s="235"/>
      <c r="ASU1" s="235"/>
      <c r="ASV1" s="235"/>
      <c r="ASW1" s="235"/>
      <c r="ASX1" s="235"/>
      <c r="ASY1" s="235"/>
      <c r="ASZ1" s="235"/>
      <c r="ATA1" s="235"/>
      <c r="ATB1" s="235"/>
      <c r="ATC1" s="235"/>
      <c r="ATD1" s="235"/>
      <c r="ATE1" s="235"/>
      <c r="ATF1" s="235"/>
      <c r="ATG1" s="235"/>
      <c r="ATH1" s="235"/>
      <c r="ATI1" s="235"/>
      <c r="ATJ1" s="235"/>
      <c r="ATK1" s="235"/>
      <c r="ATL1" s="235"/>
      <c r="ATM1" s="235"/>
      <c r="ATN1" s="235"/>
      <c r="ATO1" s="235"/>
      <c r="ATP1" s="235"/>
      <c r="ATQ1" s="235"/>
      <c r="ATR1" s="235"/>
      <c r="ATS1" s="235"/>
      <c r="ATT1" s="235"/>
      <c r="ATU1" s="235"/>
      <c r="ATV1" s="235"/>
      <c r="ATW1" s="235"/>
      <c r="ATX1" s="235"/>
      <c r="ATY1" s="235"/>
      <c r="ATZ1" s="235"/>
      <c r="AUA1" s="235"/>
      <c r="AUB1" s="235"/>
      <c r="AUC1" s="235"/>
      <c r="AUD1" s="235"/>
      <c r="AUE1" s="235"/>
      <c r="AUF1" s="235"/>
      <c r="AUG1" s="235"/>
      <c r="AUH1" s="235"/>
      <c r="AUI1" s="235"/>
      <c r="AUJ1" s="235"/>
      <c r="AUK1" s="235"/>
      <c r="AUL1" s="235"/>
      <c r="AUM1" s="235"/>
      <c r="AUN1" s="235"/>
      <c r="AUO1" s="235"/>
      <c r="AUP1" s="235"/>
      <c r="AUQ1" s="235"/>
      <c r="AUR1" s="235"/>
      <c r="AUS1" s="235"/>
      <c r="AUT1" s="235"/>
      <c r="AUU1" s="235"/>
      <c r="AUV1" s="235"/>
      <c r="AUW1" s="235"/>
      <c r="AUX1" s="235"/>
      <c r="AUY1" s="235"/>
      <c r="AUZ1" s="235"/>
      <c r="AVA1" s="235"/>
      <c r="AVB1" s="235"/>
      <c r="AVC1" s="235"/>
      <c r="AVD1" s="235"/>
      <c r="AVE1" s="235"/>
      <c r="AVF1" s="235"/>
      <c r="AVG1" s="235"/>
      <c r="AVH1" s="235"/>
      <c r="AVI1" s="235"/>
      <c r="AVJ1" s="235"/>
      <c r="AVK1" s="235"/>
      <c r="AVL1" s="235"/>
      <c r="AVM1" s="235"/>
      <c r="AVN1" s="235"/>
      <c r="AVO1" s="235"/>
      <c r="AVP1" s="235"/>
      <c r="AVQ1" s="235"/>
      <c r="AVR1" s="235"/>
      <c r="AVS1" s="235"/>
      <c r="AVT1" s="235"/>
      <c r="AVU1" s="235"/>
      <c r="AVV1" s="235"/>
      <c r="AVW1" s="235"/>
      <c r="AVX1" s="235"/>
      <c r="AVY1" s="235"/>
      <c r="AVZ1" s="235"/>
      <c r="AWA1" s="235"/>
      <c r="AWB1" s="235"/>
      <c r="AWC1" s="235"/>
      <c r="AWD1" s="235"/>
      <c r="AWE1" s="235"/>
      <c r="AWF1" s="235"/>
      <c r="AWG1" s="235"/>
      <c r="AWH1" s="235"/>
      <c r="AWI1" s="235"/>
      <c r="AWJ1" s="235"/>
      <c r="AWK1" s="235"/>
      <c r="AWL1" s="235"/>
      <c r="AWM1" s="235"/>
      <c r="AWN1" s="235"/>
      <c r="AWO1" s="235"/>
      <c r="AWP1" s="235"/>
      <c r="AWQ1" s="235"/>
      <c r="AWR1" s="235"/>
      <c r="AWS1" s="235"/>
      <c r="AWT1" s="235"/>
      <c r="AWU1" s="235"/>
      <c r="AWV1" s="235"/>
      <c r="AWW1" s="235"/>
      <c r="AWX1" s="235"/>
      <c r="AWY1" s="235"/>
      <c r="AWZ1" s="235"/>
      <c r="AXA1" s="235"/>
      <c r="AXB1" s="235"/>
      <c r="AXC1" s="235"/>
      <c r="AXD1" s="235"/>
      <c r="AXE1" s="235"/>
      <c r="AXF1" s="235"/>
      <c r="AXG1" s="235"/>
      <c r="AXH1" s="235"/>
      <c r="AXI1" s="235"/>
      <c r="AXJ1" s="235"/>
      <c r="AXK1" s="235"/>
      <c r="AXL1" s="235"/>
      <c r="AXM1" s="235"/>
      <c r="AXN1" s="235"/>
      <c r="AXO1" s="235"/>
      <c r="AXP1" s="235"/>
      <c r="AXQ1" s="235"/>
      <c r="AXR1" s="235"/>
      <c r="AXS1" s="235"/>
      <c r="AXT1" s="235"/>
      <c r="AXU1" s="235"/>
      <c r="AXV1" s="235"/>
      <c r="AXW1" s="235"/>
      <c r="AXX1" s="235"/>
      <c r="AXY1" s="235"/>
      <c r="AXZ1" s="235"/>
      <c r="AYA1" s="235"/>
      <c r="AYB1" s="235"/>
      <c r="AYC1" s="235"/>
      <c r="AYD1" s="235"/>
      <c r="AYE1" s="235"/>
      <c r="AYF1" s="235"/>
      <c r="AYG1" s="235"/>
      <c r="AYH1" s="235"/>
      <c r="AYI1" s="235"/>
      <c r="AYJ1" s="235"/>
      <c r="AYK1" s="235"/>
      <c r="AYL1" s="235"/>
      <c r="AYM1" s="235"/>
      <c r="AYN1" s="235"/>
      <c r="AYO1" s="235"/>
      <c r="AYP1" s="235"/>
      <c r="AYQ1" s="235"/>
      <c r="AYR1" s="235"/>
      <c r="AYS1" s="235"/>
      <c r="AYT1" s="235"/>
      <c r="AYU1" s="235"/>
      <c r="AYV1" s="235"/>
      <c r="AYW1" s="235"/>
      <c r="AYX1" s="235"/>
      <c r="AYY1" s="235"/>
      <c r="AYZ1" s="235"/>
      <c r="AZA1" s="235"/>
      <c r="AZB1" s="235"/>
      <c r="AZC1" s="235"/>
      <c r="AZD1" s="235"/>
      <c r="AZE1" s="235"/>
      <c r="AZF1" s="235"/>
      <c r="AZG1" s="235"/>
      <c r="AZH1" s="235"/>
      <c r="AZI1" s="235"/>
      <c r="AZJ1" s="235"/>
      <c r="AZK1" s="235"/>
      <c r="AZL1" s="235"/>
      <c r="AZM1" s="235"/>
      <c r="AZN1" s="235"/>
      <c r="AZO1" s="235"/>
      <c r="AZP1" s="235"/>
      <c r="AZQ1" s="235"/>
      <c r="AZR1" s="235"/>
      <c r="AZS1" s="235"/>
      <c r="AZT1" s="235"/>
      <c r="AZU1" s="235"/>
      <c r="AZV1" s="235"/>
      <c r="AZW1" s="235"/>
      <c r="AZX1" s="235"/>
      <c r="AZY1" s="235"/>
      <c r="AZZ1" s="235"/>
      <c r="BAA1" s="235"/>
      <c r="BAB1" s="235"/>
      <c r="BAC1" s="235"/>
      <c r="BAD1" s="235"/>
      <c r="BAE1" s="235"/>
      <c r="BAF1" s="235"/>
      <c r="BAG1" s="235"/>
      <c r="BAH1" s="235"/>
      <c r="BAI1" s="235"/>
      <c r="BAJ1" s="235"/>
      <c r="BAK1" s="235"/>
      <c r="BAL1" s="235"/>
      <c r="BAM1" s="235"/>
      <c r="BAN1" s="235"/>
      <c r="BAO1" s="235"/>
      <c r="BAP1" s="235"/>
      <c r="BAQ1" s="235"/>
      <c r="BAR1" s="235"/>
      <c r="BAS1" s="235"/>
      <c r="BAT1" s="235"/>
      <c r="BAU1" s="235"/>
      <c r="BAV1" s="235"/>
      <c r="BAW1" s="235"/>
      <c r="BAX1" s="235"/>
      <c r="BAY1" s="235"/>
      <c r="BAZ1" s="235"/>
      <c r="BBA1" s="235"/>
      <c r="BBB1" s="235"/>
      <c r="BBC1" s="235"/>
      <c r="BBD1" s="235"/>
      <c r="BBE1" s="235"/>
      <c r="BBF1" s="235"/>
      <c r="BBG1" s="235"/>
      <c r="BBH1" s="235"/>
      <c r="BBI1" s="235"/>
      <c r="BBJ1" s="235"/>
      <c r="BBK1" s="235"/>
      <c r="BBL1" s="235"/>
      <c r="BBM1" s="235"/>
      <c r="BBN1" s="235"/>
      <c r="BBO1" s="235"/>
      <c r="BBP1" s="235"/>
      <c r="BBQ1" s="235"/>
      <c r="BBR1" s="235"/>
      <c r="BBS1" s="235"/>
      <c r="BBT1" s="235"/>
      <c r="BBU1" s="235"/>
      <c r="BBV1" s="235"/>
      <c r="BBW1" s="235"/>
      <c r="BBX1" s="235"/>
      <c r="BBY1" s="235"/>
      <c r="BBZ1" s="235"/>
      <c r="BCA1" s="235"/>
      <c r="BCB1" s="235"/>
      <c r="BCC1" s="235"/>
      <c r="BCD1" s="235"/>
      <c r="BCE1" s="235"/>
      <c r="BCF1" s="235"/>
      <c r="BCG1" s="235"/>
      <c r="BCH1" s="235"/>
      <c r="BCI1" s="235"/>
      <c r="BCJ1" s="235"/>
      <c r="BCK1" s="235"/>
      <c r="BCL1" s="235"/>
      <c r="BCM1" s="235"/>
      <c r="BCN1" s="235"/>
      <c r="BCO1" s="235"/>
      <c r="BCP1" s="235"/>
      <c r="BCQ1" s="235"/>
      <c r="BCR1" s="235"/>
      <c r="BCS1" s="235"/>
      <c r="BCT1" s="235"/>
      <c r="BCU1" s="235"/>
      <c r="BCV1" s="235"/>
      <c r="BCW1" s="235"/>
      <c r="BCX1" s="235"/>
      <c r="BCY1" s="235"/>
      <c r="BCZ1" s="235"/>
      <c r="BDA1" s="235"/>
      <c r="BDB1" s="235"/>
      <c r="BDC1" s="235"/>
      <c r="BDD1" s="235"/>
      <c r="BDE1" s="235"/>
      <c r="BDF1" s="235"/>
      <c r="BDG1" s="235"/>
      <c r="BDH1" s="235"/>
      <c r="BDI1" s="235"/>
      <c r="BDJ1" s="235"/>
      <c r="BDK1" s="235"/>
      <c r="BDL1" s="235"/>
      <c r="BDM1" s="235"/>
      <c r="BDN1" s="235"/>
      <c r="BDO1" s="235"/>
      <c r="BDP1" s="235"/>
      <c r="BDQ1" s="235"/>
      <c r="BDR1" s="235"/>
      <c r="BDS1" s="235"/>
      <c r="BDT1" s="235"/>
      <c r="BDU1" s="235"/>
      <c r="BDV1" s="235"/>
      <c r="BDW1" s="235"/>
      <c r="BDX1" s="235"/>
      <c r="BDY1" s="235"/>
      <c r="BDZ1" s="235"/>
      <c r="BEA1" s="235"/>
      <c r="BEB1" s="235"/>
      <c r="BEC1" s="235"/>
      <c r="BED1" s="235"/>
      <c r="BEE1" s="235"/>
      <c r="BEF1" s="235"/>
      <c r="BEG1" s="235"/>
      <c r="BEH1" s="235"/>
      <c r="BEI1" s="235"/>
      <c r="BEJ1" s="235"/>
      <c r="BEK1" s="235"/>
      <c r="BEL1" s="235"/>
      <c r="BEM1" s="235"/>
      <c r="BEN1" s="235"/>
      <c r="BEO1" s="235"/>
      <c r="BEP1" s="235"/>
      <c r="BEQ1" s="235"/>
      <c r="BER1" s="235"/>
      <c r="BES1" s="235"/>
      <c r="BET1" s="235"/>
      <c r="BEU1" s="235"/>
      <c r="BEV1" s="235"/>
      <c r="BEW1" s="235"/>
      <c r="BEX1" s="235"/>
      <c r="BEY1" s="235"/>
      <c r="BEZ1" s="235"/>
      <c r="BFA1" s="235"/>
      <c r="BFB1" s="235"/>
      <c r="BFC1" s="235"/>
      <c r="BFD1" s="235"/>
      <c r="BFE1" s="235"/>
      <c r="BFF1" s="235"/>
      <c r="BFG1" s="235"/>
      <c r="BFH1" s="235"/>
      <c r="BFI1" s="235"/>
      <c r="BFJ1" s="235"/>
      <c r="BFK1" s="235"/>
      <c r="BFL1" s="235"/>
      <c r="BFM1" s="235"/>
      <c r="BFN1" s="235"/>
      <c r="BFO1" s="235"/>
      <c r="BFP1" s="235"/>
      <c r="BFQ1" s="235"/>
      <c r="BFR1" s="235"/>
      <c r="BFS1" s="235"/>
      <c r="BFT1" s="235"/>
      <c r="BFU1" s="235"/>
      <c r="BFV1" s="235"/>
      <c r="BFW1" s="235"/>
      <c r="BFX1" s="235"/>
      <c r="BFY1" s="235"/>
      <c r="BFZ1" s="235"/>
      <c r="BGA1" s="235"/>
      <c r="BGB1" s="235"/>
      <c r="BGC1" s="235"/>
      <c r="BGD1" s="235"/>
      <c r="BGE1" s="235"/>
      <c r="BGF1" s="235"/>
      <c r="BGG1" s="235"/>
      <c r="BGH1" s="235"/>
      <c r="BGI1" s="235"/>
      <c r="BGJ1" s="235"/>
      <c r="BGK1" s="235"/>
      <c r="BGL1" s="235"/>
      <c r="BGM1" s="235"/>
      <c r="BGN1" s="235"/>
      <c r="BGO1" s="235"/>
      <c r="BGP1" s="235"/>
      <c r="BGQ1" s="235"/>
      <c r="BGR1" s="235"/>
      <c r="BGS1" s="235"/>
      <c r="BGT1" s="235"/>
      <c r="BGU1" s="235"/>
      <c r="BGV1" s="235"/>
      <c r="BGW1" s="235"/>
      <c r="BGX1" s="235"/>
      <c r="BGY1" s="235"/>
      <c r="BGZ1" s="235"/>
      <c r="BHA1" s="235"/>
      <c r="BHB1" s="235"/>
      <c r="BHC1" s="235"/>
      <c r="BHD1" s="235"/>
      <c r="BHE1" s="235"/>
      <c r="BHF1" s="235"/>
      <c r="BHG1" s="235"/>
      <c r="BHH1" s="235"/>
      <c r="BHI1" s="235"/>
      <c r="BHJ1" s="235"/>
      <c r="BHK1" s="235"/>
      <c r="BHL1" s="235"/>
      <c r="BHM1" s="235"/>
      <c r="BHN1" s="235"/>
      <c r="BHO1" s="235"/>
      <c r="BHP1" s="235"/>
      <c r="BHQ1" s="235"/>
      <c r="BHR1" s="235"/>
      <c r="BHS1" s="235"/>
      <c r="BHT1" s="235"/>
      <c r="BHU1" s="235"/>
      <c r="BHV1" s="235"/>
      <c r="BHW1" s="235"/>
      <c r="BHX1" s="235"/>
      <c r="BHY1" s="235"/>
      <c r="BHZ1" s="235"/>
      <c r="BIA1" s="235"/>
      <c r="BIB1" s="235"/>
      <c r="BIC1" s="235"/>
      <c r="BID1" s="235"/>
      <c r="BIE1" s="235"/>
      <c r="BIF1" s="235"/>
      <c r="BIG1" s="235"/>
      <c r="BIH1" s="235"/>
      <c r="BII1" s="235"/>
      <c r="BIJ1" s="235"/>
      <c r="BIK1" s="235"/>
      <c r="BIL1" s="235"/>
      <c r="BIM1" s="235"/>
      <c r="BIN1" s="235"/>
      <c r="BIO1" s="235"/>
      <c r="BIP1" s="235"/>
      <c r="BIQ1" s="235"/>
      <c r="BIR1" s="235"/>
      <c r="BIS1" s="235"/>
      <c r="BIT1" s="235"/>
      <c r="BIU1" s="235"/>
      <c r="BIV1" s="235"/>
      <c r="BIW1" s="235"/>
      <c r="BIX1" s="235"/>
      <c r="BIY1" s="235"/>
      <c r="BIZ1" s="235"/>
      <c r="BJA1" s="235"/>
      <c r="BJB1" s="235"/>
      <c r="BJC1" s="235"/>
      <c r="BJD1" s="235"/>
      <c r="BJE1" s="235"/>
      <c r="BJF1" s="235"/>
      <c r="BJG1" s="235"/>
      <c r="BJH1" s="235"/>
      <c r="BJI1" s="235"/>
      <c r="BJJ1" s="235"/>
      <c r="BJK1" s="235"/>
      <c r="BJL1" s="235"/>
      <c r="BJM1" s="235"/>
      <c r="BJN1" s="235"/>
      <c r="BJO1" s="235"/>
      <c r="BJP1" s="235"/>
      <c r="BJQ1" s="235"/>
      <c r="BJR1" s="235"/>
      <c r="BJS1" s="235"/>
      <c r="BJT1" s="235"/>
      <c r="BJU1" s="235"/>
      <c r="BJV1" s="235"/>
      <c r="BJW1" s="235"/>
      <c r="BJX1" s="235"/>
      <c r="BJY1" s="235"/>
      <c r="BJZ1" s="235"/>
      <c r="BKA1" s="235"/>
      <c r="BKB1" s="235"/>
      <c r="BKC1" s="235"/>
      <c r="BKD1" s="235"/>
      <c r="BKE1" s="235"/>
      <c r="BKF1" s="235"/>
      <c r="BKG1" s="235"/>
      <c r="BKH1" s="235"/>
      <c r="BKI1" s="235"/>
      <c r="BKJ1" s="235"/>
      <c r="BKK1" s="235"/>
      <c r="BKL1" s="235"/>
      <c r="BKM1" s="235"/>
      <c r="BKN1" s="235"/>
      <c r="BKO1" s="235"/>
      <c r="BKP1" s="235"/>
      <c r="BKQ1" s="235"/>
      <c r="BKR1" s="235"/>
      <c r="BKS1" s="235"/>
      <c r="BKT1" s="235"/>
      <c r="BKU1" s="235"/>
      <c r="BKV1" s="235"/>
      <c r="BKW1" s="235"/>
      <c r="BKX1" s="235"/>
      <c r="BKY1" s="235"/>
      <c r="BKZ1" s="235"/>
      <c r="BLA1" s="235"/>
      <c r="BLB1" s="235"/>
      <c r="BLC1" s="235"/>
      <c r="BLD1" s="235"/>
      <c r="BLE1" s="235"/>
      <c r="BLF1" s="235"/>
      <c r="BLG1" s="235"/>
      <c r="BLH1" s="235"/>
      <c r="BLI1" s="235"/>
      <c r="BLJ1" s="235"/>
      <c r="BLK1" s="235"/>
      <c r="BLL1" s="235"/>
      <c r="BLM1" s="235"/>
      <c r="BLN1" s="235"/>
      <c r="BLO1" s="235"/>
      <c r="BLP1" s="235"/>
      <c r="BLQ1" s="235"/>
      <c r="BLR1" s="235"/>
      <c r="BLS1" s="235"/>
      <c r="BLT1" s="235"/>
      <c r="BLU1" s="235"/>
      <c r="BLV1" s="235"/>
      <c r="BLW1" s="235"/>
      <c r="BLX1" s="235"/>
      <c r="BLY1" s="235"/>
      <c r="BLZ1" s="235"/>
      <c r="BMA1" s="235"/>
      <c r="BMB1" s="235"/>
      <c r="BMC1" s="235"/>
      <c r="BMD1" s="235"/>
      <c r="BME1" s="235"/>
      <c r="BMF1" s="235"/>
      <c r="BMG1" s="235"/>
      <c r="BMH1" s="235"/>
      <c r="BMI1" s="235"/>
      <c r="BMJ1" s="235"/>
      <c r="BMK1" s="235"/>
      <c r="BML1" s="235"/>
      <c r="BMM1" s="235"/>
      <c r="BMN1" s="235"/>
      <c r="BMO1" s="235"/>
      <c r="BMP1" s="235"/>
      <c r="BMQ1" s="235"/>
      <c r="BMR1" s="235"/>
      <c r="BMS1" s="235"/>
      <c r="BMT1" s="235"/>
      <c r="BMU1" s="235"/>
      <c r="BMV1" s="235"/>
      <c r="BMW1" s="235"/>
      <c r="BMX1" s="235"/>
      <c r="BMY1" s="235"/>
      <c r="BMZ1" s="235"/>
      <c r="BNA1" s="235"/>
      <c r="BNB1" s="235"/>
      <c r="BNC1" s="235"/>
      <c r="BND1" s="235"/>
      <c r="BNE1" s="235"/>
      <c r="BNF1" s="235"/>
      <c r="BNG1" s="235"/>
      <c r="BNH1" s="235"/>
      <c r="BNI1" s="235"/>
      <c r="BNJ1" s="235"/>
      <c r="BNK1" s="235"/>
      <c r="BNL1" s="235"/>
      <c r="BNM1" s="235"/>
      <c r="BNN1" s="235"/>
      <c r="BNO1" s="235"/>
      <c r="BNP1" s="235"/>
      <c r="BNQ1" s="235"/>
      <c r="BNR1" s="235"/>
      <c r="BNS1" s="235"/>
      <c r="BNT1" s="235"/>
      <c r="BNU1" s="235"/>
      <c r="BNV1" s="235"/>
      <c r="BNW1" s="235"/>
      <c r="BNX1" s="235"/>
      <c r="BNY1" s="235"/>
      <c r="BNZ1" s="235"/>
      <c r="BOA1" s="235"/>
      <c r="BOB1" s="235"/>
      <c r="BOC1" s="235"/>
      <c r="BOD1" s="235"/>
      <c r="BOE1" s="235"/>
      <c r="BOF1" s="235"/>
      <c r="BOG1" s="235"/>
      <c r="BOH1" s="235"/>
      <c r="BOI1" s="235"/>
      <c r="BOJ1" s="235"/>
      <c r="BOK1" s="235"/>
      <c r="BOL1" s="235"/>
      <c r="BOM1" s="235"/>
      <c r="BON1" s="235"/>
      <c r="BOO1" s="235"/>
      <c r="BOP1" s="235"/>
      <c r="BOQ1" s="235"/>
      <c r="BOR1" s="235"/>
      <c r="BOS1" s="235"/>
      <c r="BOT1" s="235"/>
      <c r="BOU1" s="235"/>
      <c r="BOV1" s="235"/>
      <c r="BOW1" s="235"/>
      <c r="BOX1" s="235"/>
      <c r="BOY1" s="235"/>
      <c r="BOZ1" s="235"/>
      <c r="BPA1" s="235"/>
      <c r="BPB1" s="235"/>
      <c r="BPC1" s="235"/>
      <c r="BPD1" s="235"/>
      <c r="BPE1" s="235"/>
      <c r="BPF1" s="235"/>
      <c r="BPG1" s="235"/>
      <c r="BPH1" s="235"/>
      <c r="BPI1" s="235"/>
      <c r="BPJ1" s="235"/>
      <c r="BPK1" s="235"/>
      <c r="BPL1" s="235"/>
      <c r="BPM1" s="235"/>
      <c r="BPN1" s="235"/>
      <c r="BPO1" s="235"/>
      <c r="BPP1" s="235"/>
      <c r="BPQ1" s="235"/>
      <c r="BPR1" s="235"/>
      <c r="BPS1" s="235"/>
      <c r="BPT1" s="235"/>
      <c r="BPU1" s="235"/>
      <c r="BPV1" s="235"/>
      <c r="BPW1" s="235"/>
      <c r="BPX1" s="235"/>
      <c r="BPY1" s="235"/>
      <c r="BPZ1" s="235"/>
      <c r="BQA1" s="235"/>
      <c r="BQB1" s="235"/>
      <c r="BQC1" s="235"/>
      <c r="BQD1" s="235"/>
      <c r="BQE1" s="235"/>
      <c r="BQF1" s="235"/>
      <c r="BQG1" s="235"/>
      <c r="BQH1" s="235"/>
      <c r="BQI1" s="235"/>
      <c r="BQJ1" s="235"/>
      <c r="BQK1" s="235"/>
      <c r="BQL1" s="235"/>
      <c r="BQM1" s="235"/>
      <c r="BQN1" s="235"/>
      <c r="BQO1" s="235"/>
      <c r="BQP1" s="235"/>
      <c r="BQQ1" s="235"/>
      <c r="BQR1" s="235"/>
      <c r="BQS1" s="235"/>
      <c r="BQT1" s="235"/>
      <c r="BQU1" s="235"/>
      <c r="BQV1" s="235"/>
      <c r="BQW1" s="235"/>
      <c r="BQX1" s="235"/>
      <c r="BQY1" s="235"/>
      <c r="BQZ1" s="235"/>
      <c r="BRA1" s="235"/>
      <c r="BRB1" s="235"/>
      <c r="BRC1" s="235"/>
      <c r="BRD1" s="235"/>
      <c r="BRE1" s="235"/>
      <c r="BRF1" s="235"/>
      <c r="BRG1" s="235"/>
      <c r="BRH1" s="235"/>
      <c r="BRI1" s="235"/>
      <c r="BRJ1" s="235"/>
      <c r="BRK1" s="235"/>
      <c r="BRL1" s="235"/>
      <c r="BRM1" s="235"/>
      <c r="BRN1" s="235"/>
      <c r="BRO1" s="235"/>
      <c r="BRP1" s="235"/>
      <c r="BRQ1" s="235"/>
      <c r="BRR1" s="235"/>
      <c r="BRS1" s="235"/>
      <c r="BRT1" s="235"/>
      <c r="BRU1" s="235"/>
      <c r="BRV1" s="235"/>
      <c r="BRW1" s="235"/>
      <c r="BRX1" s="235"/>
      <c r="BRY1" s="235"/>
      <c r="BRZ1" s="235"/>
      <c r="BSA1" s="235"/>
      <c r="BSB1" s="235"/>
      <c r="BSC1" s="235"/>
      <c r="BSD1" s="235"/>
      <c r="BSE1" s="235"/>
      <c r="BSF1" s="235"/>
      <c r="BSG1" s="235"/>
      <c r="BSH1" s="235"/>
      <c r="BSI1" s="235"/>
      <c r="BSJ1" s="235"/>
      <c r="BSK1" s="235"/>
      <c r="BSL1" s="235"/>
      <c r="BSM1" s="235"/>
      <c r="BSN1" s="235"/>
      <c r="BSO1" s="235"/>
      <c r="BSP1" s="235"/>
      <c r="BSQ1" s="235"/>
      <c r="BSR1" s="235"/>
      <c r="BSS1" s="235"/>
      <c r="BST1" s="235"/>
      <c r="BSU1" s="235"/>
      <c r="BSV1" s="235"/>
      <c r="BSW1" s="235"/>
      <c r="BSX1" s="235"/>
      <c r="BSY1" s="235"/>
      <c r="BSZ1" s="235"/>
      <c r="BTA1" s="235"/>
      <c r="BTB1" s="235"/>
      <c r="BTC1" s="235"/>
      <c r="BTD1" s="235"/>
      <c r="BTE1" s="235"/>
      <c r="BTF1" s="235"/>
      <c r="BTG1" s="235"/>
      <c r="BTH1" s="235"/>
      <c r="BTI1" s="235"/>
      <c r="BTJ1" s="235"/>
      <c r="BTK1" s="235"/>
      <c r="BTL1" s="235"/>
      <c r="BTM1" s="235"/>
      <c r="BTN1" s="235"/>
      <c r="BTO1" s="235"/>
      <c r="BTP1" s="235"/>
      <c r="BTQ1" s="235"/>
      <c r="BTR1" s="235"/>
      <c r="BTS1" s="235"/>
      <c r="BTT1" s="235"/>
      <c r="BTU1" s="235"/>
      <c r="BTV1" s="235"/>
      <c r="BTW1" s="235"/>
      <c r="BTX1" s="235"/>
      <c r="BTY1" s="235"/>
      <c r="BTZ1" s="235"/>
      <c r="BUA1" s="235"/>
      <c r="BUB1" s="235"/>
      <c r="BUC1" s="235"/>
      <c r="BUD1" s="235"/>
      <c r="BUE1" s="235"/>
      <c r="BUF1" s="235"/>
      <c r="BUG1" s="235"/>
      <c r="BUH1" s="235"/>
      <c r="BUI1" s="235"/>
      <c r="BUJ1" s="235"/>
      <c r="BUK1" s="235"/>
      <c r="BUL1" s="235"/>
      <c r="BUM1" s="235"/>
      <c r="BUN1" s="235"/>
      <c r="BUO1" s="235"/>
      <c r="BUP1" s="235"/>
      <c r="BUQ1" s="235"/>
      <c r="BUR1" s="235"/>
      <c r="BUS1" s="235"/>
      <c r="BUT1" s="235"/>
      <c r="BUU1" s="235"/>
      <c r="BUV1" s="235"/>
      <c r="BUW1" s="235"/>
      <c r="BUX1" s="235"/>
      <c r="BUY1" s="235"/>
      <c r="BUZ1" s="235"/>
      <c r="BVA1" s="235"/>
      <c r="BVB1" s="235"/>
      <c r="BVC1" s="235"/>
      <c r="BVD1" s="235"/>
      <c r="BVE1" s="235"/>
      <c r="BVF1" s="235"/>
      <c r="BVG1" s="235"/>
      <c r="BVH1" s="235"/>
      <c r="BVI1" s="235"/>
      <c r="BVJ1" s="235"/>
      <c r="BVK1" s="235"/>
      <c r="BVL1" s="235"/>
      <c r="BVM1" s="235"/>
      <c r="BVN1" s="235"/>
      <c r="BVO1" s="235"/>
      <c r="BVP1" s="235"/>
      <c r="BVQ1" s="235"/>
      <c r="BVR1" s="235"/>
      <c r="BVS1" s="235"/>
      <c r="BVT1" s="235"/>
      <c r="BVU1" s="235"/>
      <c r="BVV1" s="235"/>
      <c r="BVW1" s="235"/>
      <c r="BVX1" s="235"/>
      <c r="BVY1" s="235"/>
      <c r="BVZ1" s="235"/>
      <c r="BWA1" s="235"/>
      <c r="BWB1" s="235"/>
      <c r="BWC1" s="235"/>
      <c r="BWD1" s="235"/>
      <c r="BWE1" s="235"/>
      <c r="BWF1" s="235"/>
      <c r="BWG1" s="235"/>
      <c r="BWH1" s="235"/>
      <c r="BWI1" s="235"/>
      <c r="BWJ1" s="235"/>
      <c r="BWK1" s="235"/>
      <c r="BWL1" s="235"/>
      <c r="BWM1" s="235"/>
      <c r="BWN1" s="235"/>
      <c r="BWO1" s="235"/>
      <c r="BWP1" s="235"/>
      <c r="BWQ1" s="235"/>
      <c r="BWR1" s="235"/>
      <c r="BWS1" s="235"/>
      <c r="BWT1" s="235"/>
      <c r="BWU1" s="235"/>
      <c r="BWV1" s="235"/>
      <c r="BWW1" s="235"/>
      <c r="BWX1" s="235"/>
      <c r="BWY1" s="235"/>
      <c r="BWZ1" s="235"/>
      <c r="BXA1" s="235"/>
      <c r="BXB1" s="235"/>
      <c r="BXC1" s="235"/>
      <c r="BXD1" s="235"/>
      <c r="BXE1" s="235"/>
      <c r="BXF1" s="235"/>
      <c r="BXG1" s="235"/>
      <c r="BXH1" s="235"/>
      <c r="BXI1" s="235"/>
      <c r="BXJ1" s="235"/>
      <c r="BXK1" s="235"/>
      <c r="BXL1" s="235"/>
      <c r="BXM1" s="235"/>
      <c r="BXN1" s="235"/>
      <c r="BXO1" s="235"/>
      <c r="BXP1" s="235"/>
      <c r="BXQ1" s="235"/>
      <c r="BXR1" s="235"/>
      <c r="BXS1" s="235"/>
      <c r="BXT1" s="235"/>
      <c r="BXU1" s="235"/>
      <c r="BXV1" s="235"/>
      <c r="BXW1" s="235"/>
      <c r="BXX1" s="235"/>
      <c r="BXY1" s="235"/>
      <c r="BXZ1" s="235"/>
      <c r="BYA1" s="235"/>
      <c r="BYB1" s="235"/>
      <c r="BYC1" s="235"/>
      <c r="BYD1" s="235"/>
      <c r="BYE1" s="235"/>
      <c r="BYF1" s="235"/>
      <c r="BYG1" s="235"/>
      <c r="BYH1" s="235"/>
      <c r="BYI1" s="235"/>
      <c r="BYJ1" s="235"/>
      <c r="BYK1" s="235"/>
      <c r="BYL1" s="235"/>
      <c r="BYM1" s="235"/>
      <c r="BYN1" s="235"/>
      <c r="BYO1" s="235"/>
      <c r="BYP1" s="235"/>
      <c r="BYQ1" s="235"/>
      <c r="BYR1" s="235"/>
      <c r="BYS1" s="235"/>
      <c r="BYT1" s="235"/>
      <c r="BYU1" s="235"/>
      <c r="BYV1" s="235"/>
      <c r="BYW1" s="235"/>
      <c r="BYX1" s="235"/>
      <c r="BYY1" s="235"/>
      <c r="BYZ1" s="235"/>
      <c r="BZA1" s="235"/>
      <c r="BZB1" s="235"/>
      <c r="BZC1" s="235"/>
      <c r="BZD1" s="235"/>
      <c r="BZE1" s="235"/>
      <c r="BZF1" s="235"/>
      <c r="BZG1" s="235"/>
      <c r="BZH1" s="235"/>
      <c r="BZI1" s="235"/>
      <c r="BZJ1" s="235"/>
      <c r="BZK1" s="235"/>
      <c r="BZL1" s="235"/>
      <c r="BZM1" s="235"/>
      <c r="BZN1" s="235"/>
      <c r="BZO1" s="235"/>
      <c r="BZP1" s="235"/>
      <c r="BZQ1" s="235"/>
      <c r="BZR1" s="235"/>
      <c r="BZS1" s="235"/>
      <c r="BZT1" s="235"/>
      <c r="BZU1" s="235"/>
      <c r="BZV1" s="235"/>
      <c r="BZW1" s="235"/>
      <c r="BZX1" s="235"/>
      <c r="BZY1" s="235"/>
      <c r="BZZ1" s="235"/>
      <c r="CAA1" s="235"/>
      <c r="CAB1" s="235"/>
      <c r="CAC1" s="235"/>
      <c r="CAD1" s="235"/>
      <c r="CAE1" s="235"/>
      <c r="CAF1" s="235"/>
      <c r="CAG1" s="235"/>
      <c r="CAH1" s="235"/>
      <c r="CAI1" s="235"/>
      <c r="CAJ1" s="235"/>
      <c r="CAK1" s="235"/>
      <c r="CAL1" s="235"/>
      <c r="CAM1" s="235"/>
      <c r="CAN1" s="235"/>
      <c r="CAO1" s="235"/>
      <c r="CAP1" s="235"/>
      <c r="CAQ1" s="235"/>
      <c r="CAR1" s="235"/>
      <c r="CAS1" s="235"/>
      <c r="CAT1" s="235"/>
      <c r="CAU1" s="235"/>
      <c r="CAV1" s="235"/>
      <c r="CAW1" s="235"/>
      <c r="CAX1" s="235"/>
      <c r="CAY1" s="235"/>
      <c r="CAZ1" s="235"/>
      <c r="CBA1" s="235"/>
      <c r="CBB1" s="235"/>
      <c r="CBC1" s="235"/>
      <c r="CBD1" s="235"/>
      <c r="CBE1" s="235"/>
      <c r="CBF1" s="235"/>
      <c r="CBG1" s="235"/>
      <c r="CBH1" s="235"/>
      <c r="CBI1" s="235"/>
      <c r="CBJ1" s="235"/>
      <c r="CBK1" s="235"/>
      <c r="CBL1" s="235"/>
      <c r="CBM1" s="235"/>
      <c r="CBN1" s="235"/>
      <c r="CBO1" s="235"/>
      <c r="CBP1" s="235"/>
      <c r="CBQ1" s="235"/>
      <c r="CBR1" s="235"/>
      <c r="CBS1" s="235"/>
      <c r="CBT1" s="235"/>
      <c r="CBU1" s="235"/>
      <c r="CBV1" s="235"/>
      <c r="CBW1" s="235"/>
      <c r="CBX1" s="235"/>
      <c r="CBY1" s="235"/>
      <c r="CBZ1" s="235"/>
      <c r="CCA1" s="235"/>
      <c r="CCB1" s="235"/>
      <c r="CCC1" s="235"/>
      <c r="CCD1" s="235"/>
      <c r="CCE1" s="235"/>
      <c r="CCF1" s="235"/>
      <c r="CCG1" s="235"/>
      <c r="CCH1" s="235"/>
      <c r="CCI1" s="235"/>
      <c r="CCJ1" s="235"/>
      <c r="CCK1" s="235"/>
      <c r="CCL1" s="235"/>
      <c r="CCM1" s="235"/>
      <c r="CCN1" s="235"/>
      <c r="CCO1" s="235"/>
      <c r="CCP1" s="235"/>
      <c r="CCQ1" s="235"/>
      <c r="CCR1" s="235"/>
      <c r="CCS1" s="235"/>
      <c r="CCT1" s="235"/>
      <c r="CCU1" s="235"/>
      <c r="CCV1" s="235"/>
      <c r="CCW1" s="235"/>
      <c r="CCX1" s="235"/>
      <c r="CCY1" s="235"/>
      <c r="CCZ1" s="235"/>
      <c r="CDA1" s="235"/>
      <c r="CDB1" s="235"/>
      <c r="CDC1" s="235"/>
      <c r="CDD1" s="235"/>
      <c r="CDE1" s="235"/>
      <c r="CDF1" s="235"/>
      <c r="CDG1" s="235"/>
      <c r="CDH1" s="235"/>
      <c r="CDI1" s="235"/>
      <c r="CDJ1" s="235"/>
      <c r="CDK1" s="235"/>
      <c r="CDL1" s="235"/>
      <c r="CDM1" s="235"/>
      <c r="CDN1" s="235"/>
      <c r="CDO1" s="235"/>
      <c r="CDP1" s="235"/>
      <c r="CDQ1" s="235"/>
      <c r="CDR1" s="235"/>
      <c r="CDS1" s="235"/>
      <c r="CDT1" s="235"/>
      <c r="CDU1" s="235"/>
      <c r="CDV1" s="235"/>
      <c r="CDW1" s="235"/>
      <c r="CDX1" s="235"/>
      <c r="CDY1" s="235"/>
      <c r="CDZ1" s="235"/>
      <c r="CEA1" s="235"/>
      <c r="CEB1" s="235"/>
      <c r="CEC1" s="235"/>
      <c r="CED1" s="235"/>
      <c r="CEE1" s="235"/>
      <c r="CEF1" s="235"/>
      <c r="CEG1" s="235"/>
      <c r="CEH1" s="235"/>
      <c r="CEI1" s="235"/>
      <c r="CEJ1" s="235"/>
      <c r="CEK1" s="235"/>
      <c r="CEL1" s="235"/>
      <c r="CEM1" s="235"/>
      <c r="CEN1" s="235"/>
      <c r="CEO1" s="235"/>
      <c r="CEP1" s="235"/>
      <c r="CEQ1" s="235"/>
      <c r="CER1" s="235"/>
      <c r="CES1" s="235"/>
      <c r="CET1" s="235"/>
      <c r="CEU1" s="235"/>
      <c r="CEV1" s="235"/>
      <c r="CEW1" s="235"/>
      <c r="CEX1" s="235"/>
      <c r="CEY1" s="235"/>
      <c r="CEZ1" s="235"/>
      <c r="CFA1" s="235"/>
      <c r="CFB1" s="235"/>
      <c r="CFC1" s="235"/>
      <c r="CFD1" s="235"/>
      <c r="CFE1" s="235"/>
      <c r="CFF1" s="235"/>
      <c r="CFG1" s="235"/>
      <c r="CFH1" s="235"/>
      <c r="CFI1" s="235"/>
      <c r="CFJ1" s="235"/>
      <c r="CFK1" s="235"/>
      <c r="CFL1" s="235"/>
      <c r="CFM1" s="235"/>
      <c r="CFN1" s="235"/>
      <c r="CFO1" s="235"/>
      <c r="CFP1" s="235"/>
      <c r="CFQ1" s="235"/>
      <c r="CFR1" s="235"/>
      <c r="CFS1" s="235"/>
      <c r="CFT1" s="235"/>
      <c r="CFU1" s="235"/>
      <c r="CFV1" s="235"/>
      <c r="CFW1" s="235"/>
      <c r="CFX1" s="235"/>
      <c r="CFY1" s="235"/>
      <c r="CFZ1" s="235"/>
      <c r="CGA1" s="235"/>
      <c r="CGB1" s="235"/>
      <c r="CGC1" s="235"/>
      <c r="CGD1" s="235"/>
      <c r="CGE1" s="235"/>
      <c r="CGF1" s="235"/>
      <c r="CGG1" s="235"/>
      <c r="CGH1" s="235"/>
      <c r="CGI1" s="235"/>
      <c r="CGJ1" s="235"/>
      <c r="CGK1" s="235"/>
      <c r="CGL1" s="235"/>
      <c r="CGM1" s="235"/>
      <c r="CGN1" s="235"/>
      <c r="CGO1" s="235"/>
      <c r="CGP1" s="235"/>
      <c r="CGQ1" s="235"/>
      <c r="CGR1" s="235"/>
      <c r="CGS1" s="235"/>
      <c r="CGT1" s="235"/>
      <c r="CGU1" s="235"/>
      <c r="CGV1" s="235"/>
      <c r="CGW1" s="235"/>
      <c r="CGX1" s="235"/>
      <c r="CGY1" s="235"/>
      <c r="CGZ1" s="235"/>
      <c r="CHA1" s="235"/>
      <c r="CHB1" s="235"/>
      <c r="CHC1" s="235"/>
      <c r="CHD1" s="235"/>
      <c r="CHE1" s="235"/>
      <c r="CHF1" s="235"/>
      <c r="CHG1" s="235"/>
      <c r="CHH1" s="235"/>
      <c r="CHI1" s="235"/>
      <c r="CHJ1" s="235"/>
      <c r="CHK1" s="235"/>
      <c r="CHL1" s="235"/>
      <c r="CHM1" s="235"/>
      <c r="CHN1" s="235"/>
      <c r="CHO1" s="235"/>
      <c r="CHP1" s="235"/>
      <c r="CHQ1" s="235"/>
      <c r="CHR1" s="235"/>
      <c r="CHS1" s="235"/>
      <c r="CHT1" s="235"/>
      <c r="CHU1" s="235"/>
      <c r="CHV1" s="235"/>
      <c r="CHW1" s="235"/>
      <c r="CHX1" s="235"/>
      <c r="CHY1" s="235"/>
      <c r="CHZ1" s="235"/>
      <c r="CIA1" s="235"/>
      <c r="CIB1" s="235"/>
      <c r="CIC1" s="235"/>
      <c r="CID1" s="235"/>
      <c r="CIE1" s="235"/>
      <c r="CIF1" s="235"/>
      <c r="CIG1" s="235"/>
      <c r="CIH1" s="235"/>
      <c r="CII1" s="235"/>
      <c r="CIJ1" s="235"/>
      <c r="CIK1" s="235"/>
      <c r="CIL1" s="235"/>
      <c r="CIM1" s="235"/>
      <c r="CIN1" s="235"/>
      <c r="CIO1" s="235"/>
      <c r="CIP1" s="235"/>
      <c r="CIQ1" s="235"/>
      <c r="CIR1" s="235"/>
      <c r="CIS1" s="235"/>
      <c r="CIT1" s="235"/>
      <c r="CIU1" s="235"/>
      <c r="CIV1" s="235"/>
      <c r="CIW1" s="235"/>
      <c r="CIX1" s="235"/>
      <c r="CIY1" s="235"/>
      <c r="CIZ1" s="235"/>
      <c r="CJA1" s="235"/>
      <c r="CJB1" s="235"/>
      <c r="CJC1" s="235"/>
      <c r="CJD1" s="235"/>
      <c r="CJE1" s="235"/>
      <c r="CJF1" s="235"/>
      <c r="CJG1" s="235"/>
      <c r="CJH1" s="235"/>
      <c r="CJI1" s="235"/>
      <c r="CJJ1" s="235"/>
      <c r="CJK1" s="235"/>
      <c r="CJL1" s="235"/>
      <c r="CJM1" s="235"/>
      <c r="CJN1" s="235"/>
      <c r="CJO1" s="235"/>
      <c r="CJP1" s="235"/>
      <c r="CJQ1" s="235"/>
      <c r="CJR1" s="235"/>
      <c r="CJS1" s="235"/>
      <c r="CJT1" s="235"/>
      <c r="CJU1" s="235"/>
      <c r="CJV1" s="235"/>
      <c r="CJW1" s="235"/>
      <c r="CJX1" s="235"/>
      <c r="CJY1" s="235"/>
      <c r="CJZ1" s="235"/>
      <c r="CKA1" s="235"/>
      <c r="CKB1" s="235"/>
      <c r="CKC1" s="235"/>
      <c r="CKD1" s="235"/>
      <c r="CKE1" s="235"/>
      <c r="CKF1" s="235"/>
      <c r="CKG1" s="235"/>
      <c r="CKH1" s="235"/>
      <c r="CKI1" s="235"/>
      <c r="CKJ1" s="235"/>
      <c r="CKK1" s="235"/>
      <c r="CKL1" s="235"/>
      <c r="CKM1" s="235"/>
      <c r="CKN1" s="235"/>
      <c r="CKO1" s="235"/>
      <c r="CKP1" s="235"/>
      <c r="CKQ1" s="235"/>
      <c r="CKR1" s="235"/>
      <c r="CKS1" s="235"/>
      <c r="CKT1" s="235"/>
      <c r="CKU1" s="235"/>
      <c r="CKV1" s="235"/>
      <c r="CKW1" s="235"/>
      <c r="CKX1" s="235"/>
      <c r="CKY1" s="235"/>
      <c r="CKZ1" s="235"/>
      <c r="CLA1" s="235"/>
      <c r="CLB1" s="235"/>
      <c r="CLC1" s="235"/>
      <c r="CLD1" s="235"/>
      <c r="CLE1" s="235"/>
      <c r="CLF1" s="235"/>
      <c r="CLG1" s="235"/>
      <c r="CLH1" s="235"/>
      <c r="CLI1" s="235"/>
      <c r="CLJ1" s="235"/>
      <c r="CLK1" s="235"/>
      <c r="CLL1" s="235"/>
      <c r="CLM1" s="235"/>
      <c r="CLN1" s="235"/>
      <c r="CLO1" s="235"/>
      <c r="CLP1" s="235"/>
      <c r="CLQ1" s="235"/>
      <c r="CLR1" s="235"/>
      <c r="CLS1" s="235"/>
      <c r="CLT1" s="235"/>
      <c r="CLU1" s="235"/>
      <c r="CLV1" s="235"/>
      <c r="CLW1" s="235"/>
      <c r="CLX1" s="235"/>
      <c r="CLY1" s="235"/>
      <c r="CLZ1" s="235"/>
      <c r="CMA1" s="235"/>
      <c r="CMB1" s="235"/>
      <c r="CMC1" s="235"/>
      <c r="CMD1" s="235"/>
      <c r="CME1" s="235"/>
      <c r="CMF1" s="235"/>
      <c r="CMG1" s="235"/>
      <c r="CMH1" s="235"/>
      <c r="CMI1" s="235"/>
      <c r="CMJ1" s="235"/>
      <c r="CMK1" s="235"/>
      <c r="CML1" s="235"/>
      <c r="CMM1" s="235"/>
      <c r="CMN1" s="235"/>
      <c r="CMO1" s="235"/>
      <c r="CMP1" s="235"/>
      <c r="CMQ1" s="235"/>
      <c r="CMR1" s="235"/>
      <c r="CMS1" s="235"/>
      <c r="CMT1" s="235"/>
      <c r="CMU1" s="235"/>
      <c r="CMV1" s="235"/>
      <c r="CMW1" s="235"/>
      <c r="CMX1" s="235"/>
      <c r="CMY1" s="235"/>
      <c r="CMZ1" s="235"/>
      <c r="CNA1" s="235"/>
      <c r="CNB1" s="235"/>
      <c r="CNC1" s="235"/>
      <c r="CND1" s="235"/>
      <c r="CNE1" s="235"/>
      <c r="CNF1" s="235"/>
      <c r="CNG1" s="235"/>
      <c r="CNH1" s="235"/>
      <c r="CNI1" s="235"/>
      <c r="CNJ1" s="235"/>
      <c r="CNK1" s="235"/>
      <c r="CNL1" s="235"/>
      <c r="CNM1" s="235"/>
      <c r="CNN1" s="235"/>
      <c r="CNO1" s="235"/>
      <c r="CNP1" s="235"/>
      <c r="CNQ1" s="235"/>
      <c r="CNR1" s="235"/>
      <c r="CNS1" s="235"/>
      <c r="CNT1" s="235"/>
      <c r="CNU1" s="235"/>
      <c r="CNV1" s="235"/>
      <c r="CNW1" s="235"/>
      <c r="CNX1" s="235"/>
      <c r="CNY1" s="235"/>
      <c r="CNZ1" s="235"/>
      <c r="COA1" s="235"/>
      <c r="COB1" s="235"/>
      <c r="COC1" s="235"/>
      <c r="COD1" s="235"/>
      <c r="COE1" s="235"/>
      <c r="COF1" s="235"/>
      <c r="COG1" s="235"/>
      <c r="COH1" s="235"/>
      <c r="COI1" s="235"/>
      <c r="COJ1" s="235"/>
      <c r="COK1" s="235"/>
      <c r="COL1" s="235"/>
      <c r="COM1" s="235"/>
      <c r="CON1" s="235"/>
      <c r="COO1" s="235"/>
      <c r="COP1" s="235"/>
      <c r="COQ1" s="235"/>
      <c r="COR1" s="235"/>
      <c r="COS1" s="235"/>
      <c r="COT1" s="235"/>
      <c r="COU1" s="235"/>
      <c r="COV1" s="235"/>
      <c r="COW1" s="235"/>
      <c r="COX1" s="235"/>
      <c r="COY1" s="235"/>
      <c r="COZ1" s="235"/>
      <c r="CPA1" s="235"/>
      <c r="CPB1" s="235"/>
      <c r="CPC1" s="235"/>
      <c r="CPD1" s="235"/>
      <c r="CPE1" s="235"/>
      <c r="CPF1" s="235"/>
      <c r="CPG1" s="235"/>
      <c r="CPH1" s="235"/>
      <c r="CPI1" s="235"/>
      <c r="CPJ1" s="235"/>
      <c r="CPK1" s="235"/>
      <c r="CPL1" s="235"/>
      <c r="CPM1" s="235"/>
      <c r="CPN1" s="235"/>
      <c r="CPO1" s="235"/>
      <c r="CPP1" s="235"/>
      <c r="CPQ1" s="235"/>
      <c r="CPR1" s="235"/>
      <c r="CPS1" s="235"/>
      <c r="CPT1" s="235"/>
      <c r="CPU1" s="235"/>
      <c r="CPV1" s="235"/>
      <c r="CPW1" s="235"/>
      <c r="CPX1" s="235"/>
      <c r="CPY1" s="235"/>
      <c r="CPZ1" s="235"/>
      <c r="CQA1" s="235"/>
      <c r="CQB1" s="235"/>
      <c r="CQC1" s="235"/>
      <c r="CQD1" s="235"/>
      <c r="CQE1" s="235"/>
      <c r="CQF1" s="235"/>
      <c r="CQG1" s="235"/>
      <c r="CQH1" s="235"/>
      <c r="CQI1" s="235"/>
      <c r="CQJ1" s="235"/>
      <c r="CQK1" s="235"/>
      <c r="CQL1" s="235"/>
      <c r="CQM1" s="235"/>
      <c r="CQN1" s="235"/>
      <c r="CQO1" s="235"/>
      <c r="CQP1" s="235"/>
      <c r="CQQ1" s="235"/>
      <c r="CQR1" s="235"/>
      <c r="CQS1" s="235"/>
      <c r="CQT1" s="235"/>
      <c r="CQU1" s="235"/>
      <c r="CQV1" s="235"/>
      <c r="CQW1" s="235"/>
      <c r="CQX1" s="235"/>
      <c r="CQY1" s="235"/>
      <c r="CQZ1" s="235"/>
      <c r="CRA1" s="235"/>
      <c r="CRB1" s="235"/>
      <c r="CRC1" s="235"/>
      <c r="CRD1" s="235"/>
      <c r="CRE1" s="235"/>
      <c r="CRF1" s="235"/>
      <c r="CRG1" s="235"/>
      <c r="CRH1" s="235"/>
      <c r="CRI1" s="235"/>
      <c r="CRJ1" s="235"/>
      <c r="CRK1" s="235"/>
      <c r="CRL1" s="235"/>
      <c r="CRM1" s="235"/>
      <c r="CRN1" s="235"/>
      <c r="CRO1" s="235"/>
      <c r="CRP1" s="235"/>
      <c r="CRQ1" s="235"/>
      <c r="CRR1" s="235"/>
      <c r="CRS1" s="235"/>
      <c r="CRT1" s="235"/>
      <c r="CRU1" s="235"/>
      <c r="CRV1" s="235"/>
      <c r="CRW1" s="235"/>
      <c r="CRX1" s="235"/>
      <c r="CRY1" s="235"/>
      <c r="CRZ1" s="235"/>
      <c r="CSA1" s="235"/>
      <c r="CSB1" s="235"/>
      <c r="CSC1" s="235"/>
      <c r="CSD1" s="235"/>
      <c r="CSE1" s="235"/>
      <c r="CSF1" s="235"/>
      <c r="CSG1" s="235"/>
      <c r="CSH1" s="235"/>
      <c r="CSI1" s="235"/>
      <c r="CSJ1" s="235"/>
      <c r="CSK1" s="235"/>
      <c r="CSL1" s="235"/>
      <c r="CSM1" s="235"/>
      <c r="CSN1" s="235"/>
      <c r="CSO1" s="235"/>
      <c r="CSP1" s="235"/>
      <c r="CSQ1" s="235"/>
      <c r="CSR1" s="235"/>
      <c r="CSS1" s="235"/>
      <c r="CST1" s="235"/>
      <c r="CSU1" s="235"/>
      <c r="CSV1" s="235"/>
      <c r="CSW1" s="235"/>
      <c r="CSX1" s="235"/>
      <c r="CSY1" s="235"/>
      <c r="CSZ1" s="235"/>
      <c r="CTA1" s="235"/>
      <c r="CTB1" s="235"/>
      <c r="CTC1" s="235"/>
      <c r="CTD1" s="235"/>
      <c r="CTE1" s="235"/>
      <c r="CTF1" s="235"/>
      <c r="CTG1" s="235"/>
      <c r="CTH1" s="235"/>
      <c r="CTI1" s="235"/>
      <c r="CTJ1" s="235"/>
      <c r="CTK1" s="235"/>
      <c r="CTL1" s="235"/>
      <c r="CTM1" s="235"/>
      <c r="CTN1" s="235"/>
      <c r="CTO1" s="235"/>
      <c r="CTP1" s="235"/>
      <c r="CTQ1" s="235"/>
      <c r="CTR1" s="235"/>
      <c r="CTS1" s="235"/>
      <c r="CTT1" s="235"/>
      <c r="CTU1" s="235"/>
      <c r="CTV1" s="235"/>
      <c r="CTW1" s="235"/>
      <c r="CTX1" s="235"/>
      <c r="CTY1" s="235"/>
      <c r="CTZ1" s="235"/>
      <c r="CUA1" s="235"/>
      <c r="CUB1" s="235"/>
      <c r="CUC1" s="235"/>
      <c r="CUD1" s="235"/>
      <c r="CUE1" s="235"/>
      <c r="CUF1" s="235"/>
      <c r="CUG1" s="235"/>
      <c r="CUH1" s="235"/>
      <c r="CUI1" s="235"/>
      <c r="CUJ1" s="235"/>
      <c r="CUK1" s="235"/>
      <c r="CUL1" s="235"/>
      <c r="CUM1" s="235"/>
      <c r="CUN1" s="235"/>
      <c r="CUO1" s="235"/>
      <c r="CUP1" s="235"/>
      <c r="CUQ1" s="235"/>
      <c r="CUR1" s="235"/>
      <c r="CUS1" s="235"/>
      <c r="CUT1" s="235"/>
      <c r="CUU1" s="235"/>
      <c r="CUV1" s="235"/>
      <c r="CUW1" s="235"/>
      <c r="CUX1" s="235"/>
      <c r="CUY1" s="235"/>
      <c r="CUZ1" s="235"/>
      <c r="CVA1" s="235"/>
      <c r="CVB1" s="235"/>
      <c r="CVC1" s="235"/>
      <c r="CVD1" s="235"/>
      <c r="CVE1" s="235"/>
      <c r="CVF1" s="235"/>
      <c r="CVG1" s="235"/>
      <c r="CVH1" s="235"/>
      <c r="CVI1" s="235"/>
      <c r="CVJ1" s="235"/>
      <c r="CVK1" s="235"/>
      <c r="CVL1" s="235"/>
      <c r="CVM1" s="235"/>
      <c r="CVN1" s="235"/>
      <c r="CVO1" s="235"/>
      <c r="CVP1" s="235"/>
      <c r="CVQ1" s="235"/>
      <c r="CVR1" s="235"/>
      <c r="CVS1" s="235"/>
      <c r="CVT1" s="235"/>
      <c r="CVU1" s="235"/>
      <c r="CVV1" s="235"/>
      <c r="CVW1" s="235"/>
      <c r="CVX1" s="235"/>
      <c r="CVY1" s="235"/>
      <c r="CVZ1" s="235"/>
      <c r="CWA1" s="235"/>
      <c r="CWB1" s="235"/>
      <c r="CWC1" s="235"/>
      <c r="CWD1" s="235"/>
      <c r="CWE1" s="235"/>
      <c r="CWF1" s="235"/>
      <c r="CWG1" s="235"/>
      <c r="CWH1" s="235"/>
      <c r="CWI1" s="235"/>
      <c r="CWJ1" s="235"/>
      <c r="CWK1" s="235"/>
      <c r="CWL1" s="235"/>
      <c r="CWM1" s="235"/>
      <c r="CWN1" s="235"/>
      <c r="CWO1" s="235"/>
      <c r="CWP1" s="235"/>
      <c r="CWQ1" s="235"/>
      <c r="CWR1" s="235"/>
      <c r="CWS1" s="235"/>
      <c r="CWT1" s="235"/>
      <c r="CWU1" s="235"/>
      <c r="CWV1" s="235"/>
      <c r="CWW1" s="235"/>
      <c r="CWX1" s="235"/>
      <c r="CWY1" s="235"/>
      <c r="CWZ1" s="235"/>
      <c r="CXA1" s="235"/>
      <c r="CXB1" s="235"/>
      <c r="CXC1" s="235"/>
      <c r="CXD1" s="235"/>
      <c r="CXE1" s="235"/>
      <c r="CXF1" s="235"/>
      <c r="CXG1" s="235"/>
      <c r="CXH1" s="235"/>
      <c r="CXI1" s="235"/>
      <c r="CXJ1" s="235"/>
      <c r="CXK1" s="235"/>
      <c r="CXL1" s="235"/>
      <c r="CXM1" s="235"/>
      <c r="CXN1" s="235"/>
      <c r="CXO1" s="235"/>
      <c r="CXP1" s="235"/>
      <c r="CXQ1" s="235"/>
      <c r="CXR1" s="235"/>
      <c r="CXS1" s="235"/>
      <c r="CXT1" s="235"/>
      <c r="CXU1" s="235"/>
      <c r="CXV1" s="235"/>
      <c r="CXW1" s="235"/>
      <c r="CXX1" s="235"/>
      <c r="CXY1" s="235"/>
      <c r="CXZ1" s="235"/>
      <c r="CYA1" s="235"/>
      <c r="CYB1" s="235"/>
      <c r="CYC1" s="235"/>
      <c r="CYD1" s="235"/>
      <c r="CYE1" s="235"/>
      <c r="CYF1" s="235"/>
      <c r="CYG1" s="235"/>
      <c r="CYH1" s="235"/>
      <c r="CYI1" s="235"/>
      <c r="CYJ1" s="235"/>
      <c r="CYK1" s="235"/>
      <c r="CYL1" s="235"/>
      <c r="CYM1" s="235"/>
      <c r="CYN1" s="235"/>
      <c r="CYO1" s="235"/>
      <c r="CYP1" s="235"/>
      <c r="CYQ1" s="235"/>
      <c r="CYR1" s="235"/>
      <c r="CYS1" s="235"/>
      <c r="CYT1" s="235"/>
      <c r="CYU1" s="235"/>
      <c r="CYV1" s="235"/>
      <c r="CYW1" s="235"/>
      <c r="CYX1" s="235"/>
      <c r="CYY1" s="235"/>
      <c r="CYZ1" s="235"/>
      <c r="CZA1" s="235"/>
      <c r="CZB1" s="235"/>
      <c r="CZC1" s="235"/>
      <c r="CZD1" s="235"/>
      <c r="CZE1" s="235"/>
      <c r="CZF1" s="235"/>
      <c r="CZG1" s="235"/>
      <c r="CZH1" s="235"/>
      <c r="CZI1" s="235"/>
      <c r="CZJ1" s="235"/>
      <c r="CZK1" s="235"/>
      <c r="CZL1" s="235"/>
      <c r="CZM1" s="235"/>
      <c r="CZN1" s="235"/>
      <c r="CZO1" s="235"/>
      <c r="CZP1" s="235"/>
      <c r="CZQ1" s="235"/>
      <c r="CZR1" s="235"/>
      <c r="CZS1" s="235"/>
      <c r="CZT1" s="235"/>
      <c r="CZU1" s="235"/>
      <c r="CZV1" s="235"/>
      <c r="CZW1" s="235"/>
      <c r="CZX1" s="235"/>
      <c r="CZY1" s="235"/>
      <c r="CZZ1" s="235"/>
      <c r="DAA1" s="235"/>
      <c r="DAB1" s="235"/>
      <c r="DAC1" s="235"/>
      <c r="DAD1" s="235"/>
      <c r="DAE1" s="235"/>
      <c r="DAF1" s="235"/>
      <c r="DAG1" s="235"/>
      <c r="DAH1" s="235"/>
      <c r="DAI1" s="235"/>
      <c r="DAJ1" s="235"/>
      <c r="DAK1" s="235"/>
      <c r="DAL1" s="235"/>
      <c r="DAM1" s="235"/>
      <c r="DAN1" s="235"/>
      <c r="DAO1" s="235"/>
      <c r="DAP1" s="235"/>
      <c r="DAQ1" s="235"/>
      <c r="DAR1" s="235"/>
      <c r="DAS1" s="235"/>
      <c r="DAT1" s="235"/>
      <c r="DAU1" s="235"/>
      <c r="DAV1" s="235"/>
      <c r="DAW1" s="235"/>
      <c r="DAX1" s="235"/>
      <c r="DAY1" s="235"/>
      <c r="DAZ1" s="235"/>
      <c r="DBA1" s="235"/>
      <c r="DBB1" s="235"/>
      <c r="DBC1" s="235"/>
      <c r="DBD1" s="235"/>
      <c r="DBE1" s="235"/>
      <c r="DBF1" s="235"/>
      <c r="DBG1" s="235"/>
      <c r="DBH1" s="235"/>
      <c r="DBI1" s="235"/>
      <c r="DBJ1" s="235"/>
      <c r="DBK1" s="235"/>
      <c r="DBL1" s="235"/>
      <c r="DBM1" s="235"/>
      <c r="DBN1" s="235"/>
      <c r="DBO1" s="235"/>
      <c r="DBP1" s="235"/>
      <c r="DBQ1" s="235"/>
      <c r="DBR1" s="235"/>
      <c r="DBS1" s="235"/>
      <c r="DBT1" s="235"/>
      <c r="DBU1" s="235"/>
      <c r="DBV1" s="235"/>
      <c r="DBW1" s="235"/>
      <c r="DBX1" s="235"/>
      <c r="DBY1" s="235"/>
      <c r="DBZ1" s="235"/>
      <c r="DCA1" s="235"/>
      <c r="DCB1" s="235"/>
      <c r="DCC1" s="235"/>
      <c r="DCD1" s="235"/>
      <c r="DCE1" s="235"/>
      <c r="DCF1" s="235"/>
      <c r="DCG1" s="235"/>
      <c r="DCH1" s="235"/>
      <c r="DCI1" s="235"/>
      <c r="DCJ1" s="235"/>
      <c r="DCK1" s="235"/>
      <c r="DCL1" s="235"/>
      <c r="DCM1" s="235"/>
      <c r="DCN1" s="235"/>
      <c r="DCO1" s="235"/>
      <c r="DCP1" s="235"/>
      <c r="DCQ1" s="235"/>
      <c r="DCR1" s="235"/>
      <c r="DCS1" s="235"/>
      <c r="DCT1" s="235"/>
      <c r="DCU1" s="235"/>
      <c r="DCV1" s="235"/>
      <c r="DCW1" s="235"/>
      <c r="DCX1" s="235"/>
      <c r="DCY1" s="235"/>
      <c r="DCZ1" s="235"/>
      <c r="DDA1" s="235"/>
      <c r="DDB1" s="235"/>
      <c r="DDC1" s="235"/>
      <c r="DDD1" s="235"/>
      <c r="DDE1" s="235"/>
      <c r="DDF1" s="235"/>
      <c r="DDG1" s="235"/>
      <c r="DDH1" s="235"/>
      <c r="DDI1" s="235"/>
      <c r="DDJ1" s="235"/>
      <c r="DDK1" s="235"/>
      <c r="DDL1" s="235"/>
      <c r="DDM1" s="235"/>
      <c r="DDN1" s="235"/>
      <c r="DDO1" s="235"/>
      <c r="DDP1" s="235"/>
      <c r="DDQ1" s="235"/>
      <c r="DDR1" s="235"/>
      <c r="DDS1" s="235"/>
      <c r="DDT1" s="235"/>
      <c r="DDU1" s="235"/>
      <c r="DDV1" s="235"/>
      <c r="DDW1" s="235"/>
      <c r="DDX1" s="235"/>
      <c r="DDY1" s="235"/>
      <c r="DDZ1" s="235"/>
      <c r="DEA1" s="235"/>
      <c r="DEB1" s="235"/>
      <c r="DEC1" s="235"/>
      <c r="DED1" s="235"/>
      <c r="DEE1" s="235"/>
      <c r="DEF1" s="235"/>
      <c r="DEG1" s="235"/>
      <c r="DEH1" s="235"/>
      <c r="DEI1" s="235"/>
      <c r="DEJ1" s="235"/>
      <c r="DEK1" s="235"/>
      <c r="DEL1" s="235"/>
      <c r="DEM1" s="235"/>
      <c r="DEN1" s="235"/>
      <c r="DEO1" s="235"/>
      <c r="DEP1" s="235"/>
      <c r="DEQ1" s="235"/>
      <c r="DER1" s="235"/>
      <c r="DES1" s="235"/>
      <c r="DET1" s="235"/>
      <c r="DEU1" s="235"/>
      <c r="DEV1" s="235"/>
      <c r="DEW1" s="235"/>
      <c r="DEX1" s="235"/>
      <c r="DEY1" s="235"/>
      <c r="DEZ1" s="235"/>
      <c r="DFA1" s="235"/>
      <c r="DFB1" s="235"/>
      <c r="DFC1" s="235"/>
      <c r="DFD1" s="235"/>
      <c r="DFE1" s="235"/>
      <c r="DFF1" s="235"/>
      <c r="DFG1" s="235"/>
      <c r="DFH1" s="235"/>
      <c r="DFI1" s="235"/>
      <c r="DFJ1" s="235"/>
      <c r="DFK1" s="235"/>
      <c r="DFL1" s="235"/>
      <c r="DFM1" s="235"/>
      <c r="DFN1" s="235"/>
      <c r="DFO1" s="235"/>
      <c r="DFP1" s="235"/>
      <c r="DFQ1" s="235"/>
      <c r="DFR1" s="235"/>
      <c r="DFS1" s="235"/>
      <c r="DFT1" s="235"/>
      <c r="DFU1" s="235"/>
      <c r="DFV1" s="235"/>
      <c r="DFW1" s="235"/>
      <c r="DFX1" s="235"/>
      <c r="DFY1" s="235"/>
      <c r="DFZ1" s="235"/>
      <c r="DGA1" s="235"/>
      <c r="DGB1" s="235"/>
      <c r="DGC1" s="235"/>
      <c r="DGD1" s="235"/>
      <c r="DGE1" s="235"/>
      <c r="DGF1" s="235"/>
      <c r="DGG1" s="235"/>
      <c r="DGH1" s="235"/>
      <c r="DGI1" s="235"/>
      <c r="DGJ1" s="235"/>
      <c r="DGK1" s="235"/>
      <c r="DGL1" s="235"/>
      <c r="DGM1" s="235"/>
      <c r="DGN1" s="235"/>
      <c r="DGO1" s="235"/>
      <c r="DGP1" s="235"/>
      <c r="DGQ1" s="235"/>
      <c r="DGR1" s="235"/>
      <c r="DGS1" s="235"/>
      <c r="DGT1" s="235"/>
      <c r="DGU1" s="235"/>
      <c r="DGV1" s="235"/>
      <c r="DGW1" s="235"/>
      <c r="DGX1" s="235"/>
      <c r="DGY1" s="235"/>
      <c r="DGZ1" s="235"/>
      <c r="DHA1" s="235"/>
      <c r="DHB1" s="235"/>
      <c r="DHC1" s="235"/>
      <c r="DHD1" s="235"/>
      <c r="DHE1" s="235"/>
      <c r="DHF1" s="235"/>
      <c r="DHG1" s="235"/>
      <c r="DHH1" s="235"/>
      <c r="DHI1" s="235"/>
      <c r="DHJ1" s="235"/>
      <c r="DHK1" s="235"/>
      <c r="DHL1" s="235"/>
      <c r="DHM1" s="235"/>
      <c r="DHN1" s="235"/>
      <c r="DHO1" s="235"/>
      <c r="DHP1" s="235"/>
      <c r="DHQ1" s="235"/>
      <c r="DHR1" s="235"/>
      <c r="DHS1" s="235"/>
      <c r="DHT1" s="235"/>
      <c r="DHU1" s="235"/>
      <c r="DHV1" s="235"/>
      <c r="DHW1" s="235"/>
      <c r="DHX1" s="235"/>
      <c r="DHY1" s="235"/>
      <c r="DHZ1" s="235"/>
      <c r="DIA1" s="235"/>
      <c r="DIB1" s="235"/>
      <c r="DIC1" s="235"/>
      <c r="DID1" s="235"/>
      <c r="DIE1" s="235"/>
      <c r="DIF1" s="235"/>
      <c r="DIG1" s="235"/>
      <c r="DIH1" s="235"/>
      <c r="DII1" s="235"/>
      <c r="DIJ1" s="235"/>
      <c r="DIK1" s="235"/>
      <c r="DIL1" s="235"/>
      <c r="DIM1" s="235"/>
      <c r="DIN1" s="235"/>
      <c r="DIO1" s="235"/>
      <c r="DIP1" s="235"/>
      <c r="DIQ1" s="235"/>
      <c r="DIR1" s="235"/>
      <c r="DIS1" s="235"/>
      <c r="DIT1" s="235"/>
      <c r="DIU1" s="235"/>
      <c r="DIV1" s="235"/>
      <c r="DIW1" s="235"/>
      <c r="DIX1" s="235"/>
      <c r="DIY1" s="235"/>
      <c r="DIZ1" s="235"/>
      <c r="DJA1" s="235"/>
      <c r="DJB1" s="235"/>
      <c r="DJC1" s="235"/>
      <c r="DJD1" s="235"/>
      <c r="DJE1" s="235"/>
      <c r="DJF1" s="235"/>
      <c r="DJG1" s="235"/>
      <c r="DJH1" s="235"/>
      <c r="DJI1" s="235"/>
      <c r="DJJ1" s="235"/>
      <c r="DJK1" s="235"/>
      <c r="DJL1" s="235"/>
      <c r="DJM1" s="235"/>
      <c r="DJN1" s="235"/>
      <c r="DJO1" s="235"/>
      <c r="DJP1" s="235"/>
      <c r="DJQ1" s="235"/>
      <c r="DJR1" s="235"/>
      <c r="DJS1" s="235"/>
      <c r="DJT1" s="235"/>
      <c r="DJU1" s="235"/>
      <c r="DJV1" s="235"/>
      <c r="DJW1" s="235"/>
      <c r="DJX1" s="235"/>
      <c r="DJY1" s="235"/>
      <c r="DJZ1" s="235"/>
      <c r="DKA1" s="235"/>
      <c r="DKB1" s="235"/>
      <c r="DKC1" s="235"/>
      <c r="DKD1" s="235"/>
      <c r="DKE1" s="235"/>
      <c r="DKF1" s="235"/>
      <c r="DKG1" s="235"/>
      <c r="DKH1" s="235"/>
      <c r="DKI1" s="235"/>
      <c r="DKJ1" s="235"/>
      <c r="DKK1" s="235"/>
      <c r="DKL1" s="235"/>
      <c r="DKM1" s="235"/>
      <c r="DKN1" s="235"/>
      <c r="DKO1" s="235"/>
      <c r="DKP1" s="235"/>
      <c r="DKQ1" s="235"/>
      <c r="DKR1" s="235"/>
      <c r="DKS1" s="235"/>
      <c r="DKT1" s="235"/>
      <c r="DKU1" s="235"/>
      <c r="DKV1" s="235"/>
      <c r="DKW1" s="235"/>
      <c r="DKX1" s="235"/>
      <c r="DKY1" s="235"/>
      <c r="DKZ1" s="235"/>
      <c r="DLA1" s="235"/>
      <c r="DLB1" s="235"/>
      <c r="DLC1" s="235"/>
      <c r="DLD1" s="235"/>
      <c r="DLE1" s="235"/>
      <c r="DLF1" s="235"/>
      <c r="DLG1" s="235"/>
      <c r="DLH1" s="235"/>
      <c r="DLI1" s="235"/>
      <c r="DLJ1" s="235"/>
      <c r="DLK1" s="235"/>
      <c r="DLL1" s="235"/>
      <c r="DLM1" s="235"/>
      <c r="DLN1" s="235"/>
      <c r="DLO1" s="235"/>
      <c r="DLP1" s="235"/>
      <c r="DLQ1" s="235"/>
      <c r="DLR1" s="235"/>
      <c r="DLS1" s="235"/>
      <c r="DLT1" s="235"/>
      <c r="DLU1" s="235"/>
      <c r="DLV1" s="235"/>
      <c r="DLW1" s="235"/>
      <c r="DLX1" s="235"/>
      <c r="DLY1" s="235"/>
      <c r="DLZ1" s="235"/>
      <c r="DMA1" s="235"/>
      <c r="DMB1" s="235"/>
      <c r="DMC1" s="235"/>
      <c r="DMD1" s="235"/>
      <c r="DME1" s="235"/>
      <c r="DMF1" s="235"/>
      <c r="DMG1" s="235"/>
      <c r="DMH1" s="235"/>
      <c r="DMI1" s="235"/>
      <c r="DMJ1" s="235"/>
      <c r="DMK1" s="235"/>
      <c r="DML1" s="235"/>
      <c r="DMM1" s="235"/>
      <c r="DMN1" s="235"/>
      <c r="DMO1" s="235"/>
      <c r="DMP1" s="235"/>
      <c r="DMQ1" s="235"/>
      <c r="DMR1" s="235"/>
      <c r="DMS1" s="235"/>
      <c r="DMT1" s="235"/>
      <c r="DMU1" s="235"/>
      <c r="DMV1" s="235"/>
      <c r="DMW1" s="235"/>
      <c r="DMX1" s="235"/>
      <c r="DMY1" s="235"/>
      <c r="DMZ1" s="235"/>
      <c r="DNA1" s="235"/>
      <c r="DNB1" s="235"/>
      <c r="DNC1" s="235"/>
      <c r="DND1" s="235"/>
      <c r="DNE1" s="235"/>
      <c r="DNF1" s="235"/>
      <c r="DNG1" s="235"/>
      <c r="DNH1" s="235"/>
      <c r="DNI1" s="235"/>
      <c r="DNJ1" s="235"/>
      <c r="DNK1" s="235"/>
      <c r="DNL1" s="235"/>
      <c r="DNM1" s="235"/>
      <c r="DNN1" s="235"/>
      <c r="DNO1" s="235"/>
      <c r="DNP1" s="235"/>
      <c r="DNQ1" s="235"/>
      <c r="DNR1" s="235"/>
      <c r="DNS1" s="235"/>
      <c r="DNT1" s="235"/>
      <c r="DNU1" s="235"/>
      <c r="DNV1" s="235"/>
      <c r="DNW1" s="235"/>
      <c r="DNX1" s="235"/>
      <c r="DNY1" s="235"/>
      <c r="DNZ1" s="235"/>
      <c r="DOA1" s="235"/>
      <c r="DOB1" s="235"/>
      <c r="DOC1" s="235"/>
      <c r="DOD1" s="235"/>
      <c r="DOE1" s="235"/>
      <c r="DOF1" s="235"/>
      <c r="DOG1" s="235"/>
      <c r="DOH1" s="235"/>
      <c r="DOI1" s="235"/>
      <c r="DOJ1" s="235"/>
      <c r="DOK1" s="235"/>
      <c r="DOL1" s="235"/>
      <c r="DOM1" s="235"/>
      <c r="DON1" s="235"/>
      <c r="DOO1" s="235"/>
      <c r="DOP1" s="235"/>
      <c r="DOQ1" s="235"/>
      <c r="DOR1" s="235"/>
      <c r="DOS1" s="235"/>
      <c r="DOT1" s="235"/>
      <c r="DOU1" s="235"/>
      <c r="DOV1" s="235"/>
      <c r="DOW1" s="235"/>
      <c r="DOX1" s="235"/>
      <c r="DOY1" s="235"/>
      <c r="DOZ1" s="235"/>
      <c r="DPA1" s="235"/>
      <c r="DPB1" s="235"/>
      <c r="DPC1" s="235"/>
      <c r="DPD1" s="235"/>
      <c r="DPE1" s="235"/>
      <c r="DPF1" s="235"/>
      <c r="DPG1" s="235"/>
      <c r="DPH1" s="235"/>
      <c r="DPI1" s="235"/>
      <c r="DPJ1" s="235"/>
      <c r="DPK1" s="235"/>
      <c r="DPL1" s="235"/>
      <c r="DPM1" s="235"/>
      <c r="DPN1" s="235"/>
      <c r="DPO1" s="235"/>
      <c r="DPP1" s="235"/>
      <c r="DPQ1" s="235"/>
      <c r="DPR1" s="235"/>
      <c r="DPS1" s="235"/>
      <c r="DPT1" s="235"/>
      <c r="DPU1" s="235"/>
      <c r="DPV1" s="235"/>
      <c r="DPW1" s="235"/>
      <c r="DPX1" s="235"/>
      <c r="DPY1" s="235"/>
      <c r="DPZ1" s="235"/>
      <c r="DQA1" s="235"/>
      <c r="DQB1" s="235"/>
      <c r="DQC1" s="235"/>
      <c r="DQD1" s="235"/>
      <c r="DQE1" s="235"/>
      <c r="DQF1" s="235"/>
      <c r="DQG1" s="235"/>
      <c r="DQH1" s="235"/>
      <c r="DQI1" s="235"/>
      <c r="DQJ1" s="235"/>
      <c r="DQK1" s="235"/>
      <c r="DQL1" s="235"/>
      <c r="DQM1" s="235"/>
      <c r="DQN1" s="235"/>
      <c r="DQO1" s="235"/>
      <c r="DQP1" s="235"/>
      <c r="DQQ1" s="235"/>
      <c r="DQR1" s="235"/>
      <c r="DQS1" s="235"/>
      <c r="DQT1" s="235"/>
      <c r="DQU1" s="235"/>
      <c r="DQV1" s="235"/>
      <c r="DQW1" s="235"/>
      <c r="DQX1" s="235"/>
      <c r="DQY1" s="235"/>
      <c r="DQZ1" s="235"/>
      <c r="DRA1" s="235"/>
      <c r="DRB1" s="235"/>
      <c r="DRC1" s="235"/>
      <c r="DRD1" s="235"/>
      <c r="DRE1" s="235"/>
      <c r="DRF1" s="235"/>
      <c r="DRG1" s="235"/>
      <c r="DRH1" s="235"/>
      <c r="DRI1" s="235"/>
      <c r="DRJ1" s="235"/>
      <c r="DRK1" s="235"/>
      <c r="DRL1" s="235"/>
      <c r="DRM1" s="235"/>
      <c r="DRN1" s="235"/>
      <c r="DRO1" s="235"/>
      <c r="DRP1" s="235"/>
      <c r="DRQ1" s="235"/>
      <c r="DRR1" s="235"/>
      <c r="DRS1" s="235"/>
      <c r="DRT1" s="235"/>
      <c r="DRU1" s="235"/>
      <c r="DRV1" s="235"/>
      <c r="DRW1" s="235"/>
      <c r="DRX1" s="235"/>
      <c r="DRY1" s="235"/>
      <c r="DRZ1" s="235"/>
      <c r="DSA1" s="235"/>
      <c r="DSB1" s="235"/>
      <c r="DSC1" s="235"/>
      <c r="DSD1" s="235"/>
      <c r="DSE1" s="235"/>
      <c r="DSF1" s="235"/>
      <c r="DSG1" s="235"/>
      <c r="DSH1" s="235"/>
      <c r="DSI1" s="235"/>
      <c r="DSJ1" s="235"/>
      <c r="DSK1" s="235"/>
      <c r="DSL1" s="235"/>
      <c r="DSM1" s="235"/>
      <c r="DSN1" s="235"/>
      <c r="DSO1" s="235"/>
      <c r="DSP1" s="235"/>
      <c r="DSQ1" s="235"/>
      <c r="DSR1" s="235"/>
      <c r="DSS1" s="235"/>
      <c r="DST1" s="235"/>
      <c r="DSU1" s="235"/>
      <c r="DSV1" s="235"/>
      <c r="DSW1" s="235"/>
      <c r="DSX1" s="235"/>
      <c r="DSY1" s="235"/>
      <c r="DSZ1" s="235"/>
      <c r="DTA1" s="235"/>
      <c r="DTB1" s="235"/>
      <c r="DTC1" s="235"/>
      <c r="DTD1" s="235"/>
      <c r="DTE1" s="235"/>
      <c r="DTF1" s="235"/>
      <c r="DTG1" s="235"/>
      <c r="DTH1" s="235"/>
      <c r="DTI1" s="235"/>
      <c r="DTJ1" s="235"/>
      <c r="DTK1" s="235"/>
      <c r="DTL1" s="235"/>
      <c r="DTM1" s="235"/>
      <c r="DTN1" s="235"/>
      <c r="DTO1" s="235"/>
      <c r="DTP1" s="235"/>
      <c r="DTQ1" s="235"/>
      <c r="DTR1" s="235"/>
      <c r="DTS1" s="235"/>
      <c r="DTT1" s="235"/>
      <c r="DTU1" s="235"/>
      <c r="DTV1" s="235"/>
      <c r="DTW1" s="235"/>
      <c r="DTX1" s="235"/>
      <c r="DTY1" s="235"/>
      <c r="DTZ1" s="235"/>
      <c r="DUA1" s="235"/>
      <c r="DUB1" s="235"/>
      <c r="DUC1" s="235"/>
      <c r="DUD1" s="235"/>
      <c r="DUE1" s="235"/>
      <c r="DUF1" s="235"/>
      <c r="DUG1" s="235"/>
      <c r="DUH1" s="235"/>
      <c r="DUI1" s="235"/>
      <c r="DUJ1" s="235"/>
      <c r="DUK1" s="235"/>
      <c r="DUL1" s="235"/>
      <c r="DUM1" s="235"/>
      <c r="DUN1" s="235"/>
      <c r="DUO1" s="235"/>
      <c r="DUP1" s="235"/>
      <c r="DUQ1" s="235"/>
      <c r="DUR1" s="235"/>
      <c r="DUS1" s="235"/>
      <c r="DUT1" s="235"/>
      <c r="DUU1" s="235"/>
      <c r="DUV1" s="235"/>
      <c r="DUW1" s="235"/>
      <c r="DUX1" s="235"/>
      <c r="DUY1" s="235"/>
      <c r="DUZ1" s="235"/>
      <c r="DVA1" s="235"/>
      <c r="DVB1" s="235"/>
      <c r="DVC1" s="235"/>
      <c r="DVD1" s="235"/>
      <c r="DVE1" s="235"/>
      <c r="DVF1" s="235"/>
      <c r="DVG1" s="235"/>
      <c r="DVH1" s="235"/>
      <c r="DVI1" s="235"/>
      <c r="DVJ1" s="235"/>
      <c r="DVK1" s="235"/>
      <c r="DVL1" s="235"/>
      <c r="DVM1" s="235"/>
      <c r="DVN1" s="235"/>
      <c r="DVO1" s="235"/>
      <c r="DVP1" s="235"/>
      <c r="DVQ1" s="235"/>
      <c r="DVR1" s="235"/>
      <c r="DVS1" s="235"/>
      <c r="DVT1" s="235"/>
      <c r="DVU1" s="235"/>
      <c r="DVV1" s="235"/>
      <c r="DVW1" s="235"/>
      <c r="DVX1" s="235"/>
      <c r="DVY1" s="235"/>
      <c r="DVZ1" s="235"/>
      <c r="DWA1" s="235"/>
      <c r="DWB1" s="235"/>
      <c r="DWC1" s="235"/>
      <c r="DWD1" s="235"/>
      <c r="DWE1" s="235"/>
      <c r="DWF1" s="235"/>
      <c r="DWG1" s="235"/>
      <c r="DWH1" s="235"/>
      <c r="DWI1" s="235"/>
      <c r="DWJ1" s="235"/>
      <c r="DWK1" s="235"/>
      <c r="DWL1" s="235"/>
      <c r="DWM1" s="235"/>
      <c r="DWN1" s="235"/>
      <c r="DWO1" s="235"/>
      <c r="DWP1" s="235"/>
      <c r="DWQ1" s="235"/>
      <c r="DWR1" s="235"/>
      <c r="DWS1" s="235"/>
      <c r="DWT1" s="235"/>
      <c r="DWU1" s="235"/>
      <c r="DWV1" s="235"/>
      <c r="DWW1" s="235"/>
      <c r="DWX1" s="235"/>
      <c r="DWY1" s="235"/>
      <c r="DWZ1" s="235"/>
      <c r="DXA1" s="235"/>
      <c r="DXB1" s="235"/>
      <c r="DXC1" s="235"/>
      <c r="DXD1" s="235"/>
      <c r="DXE1" s="235"/>
      <c r="DXF1" s="235"/>
      <c r="DXG1" s="235"/>
      <c r="DXH1" s="235"/>
      <c r="DXI1" s="235"/>
      <c r="DXJ1" s="235"/>
      <c r="DXK1" s="235"/>
      <c r="DXL1" s="235"/>
      <c r="DXM1" s="235"/>
      <c r="DXN1" s="235"/>
      <c r="DXO1" s="235"/>
      <c r="DXP1" s="235"/>
      <c r="DXQ1" s="235"/>
      <c r="DXR1" s="235"/>
      <c r="DXS1" s="235"/>
      <c r="DXT1" s="235"/>
      <c r="DXU1" s="235"/>
      <c r="DXV1" s="235"/>
      <c r="DXW1" s="235"/>
      <c r="DXX1" s="235"/>
      <c r="DXY1" s="235"/>
      <c r="DXZ1" s="235"/>
      <c r="DYA1" s="235"/>
      <c r="DYB1" s="235"/>
      <c r="DYC1" s="235"/>
      <c r="DYD1" s="235"/>
      <c r="DYE1" s="235"/>
      <c r="DYF1" s="235"/>
      <c r="DYG1" s="235"/>
      <c r="DYH1" s="235"/>
      <c r="DYI1" s="235"/>
      <c r="DYJ1" s="235"/>
      <c r="DYK1" s="235"/>
      <c r="DYL1" s="235"/>
      <c r="DYM1" s="235"/>
      <c r="DYN1" s="235"/>
      <c r="DYO1" s="235"/>
      <c r="DYP1" s="235"/>
      <c r="DYQ1" s="235"/>
      <c r="DYR1" s="235"/>
      <c r="DYS1" s="235"/>
      <c r="DYT1" s="235"/>
      <c r="DYU1" s="235"/>
      <c r="DYV1" s="235"/>
      <c r="DYW1" s="235"/>
      <c r="DYX1" s="235"/>
      <c r="DYY1" s="235"/>
      <c r="DYZ1" s="235"/>
      <c r="DZA1" s="235"/>
      <c r="DZB1" s="235"/>
      <c r="DZC1" s="235"/>
      <c r="DZD1" s="235"/>
      <c r="DZE1" s="235"/>
      <c r="DZF1" s="235"/>
      <c r="DZG1" s="235"/>
      <c r="DZH1" s="235"/>
      <c r="DZI1" s="235"/>
      <c r="DZJ1" s="235"/>
      <c r="DZK1" s="235"/>
      <c r="DZL1" s="235"/>
      <c r="DZM1" s="235"/>
      <c r="DZN1" s="235"/>
      <c r="DZO1" s="235"/>
      <c r="DZP1" s="235"/>
      <c r="DZQ1" s="235"/>
      <c r="DZR1" s="235"/>
      <c r="DZS1" s="235"/>
      <c r="DZT1" s="235"/>
      <c r="DZU1" s="235"/>
      <c r="DZV1" s="235"/>
      <c r="DZW1" s="235"/>
      <c r="DZX1" s="235"/>
      <c r="DZY1" s="235"/>
      <c r="DZZ1" s="235"/>
      <c r="EAA1" s="235"/>
      <c r="EAB1" s="235"/>
      <c r="EAC1" s="235"/>
      <c r="EAD1" s="235"/>
      <c r="EAE1" s="235"/>
      <c r="EAF1" s="235"/>
      <c r="EAG1" s="235"/>
      <c r="EAH1" s="235"/>
      <c r="EAI1" s="235"/>
      <c r="EAJ1" s="235"/>
      <c r="EAK1" s="235"/>
      <c r="EAL1" s="235"/>
      <c r="EAM1" s="235"/>
      <c r="EAN1" s="235"/>
      <c r="EAO1" s="235"/>
      <c r="EAP1" s="235"/>
      <c r="EAQ1" s="235"/>
      <c r="EAR1" s="235"/>
      <c r="EAS1" s="235"/>
      <c r="EAT1" s="235"/>
      <c r="EAU1" s="235"/>
      <c r="EAV1" s="235"/>
      <c r="EAW1" s="235"/>
      <c r="EAX1" s="235"/>
      <c r="EAY1" s="235"/>
      <c r="EAZ1" s="235"/>
      <c r="EBA1" s="235"/>
      <c r="EBB1" s="235"/>
      <c r="EBC1" s="235"/>
      <c r="EBD1" s="235"/>
      <c r="EBE1" s="235"/>
      <c r="EBF1" s="235"/>
      <c r="EBG1" s="235"/>
      <c r="EBH1" s="235"/>
      <c r="EBI1" s="235"/>
      <c r="EBJ1" s="235"/>
      <c r="EBK1" s="235"/>
      <c r="EBL1" s="235"/>
      <c r="EBM1" s="235"/>
      <c r="EBN1" s="235"/>
      <c r="EBO1" s="235"/>
      <c r="EBP1" s="235"/>
      <c r="EBQ1" s="235"/>
      <c r="EBR1" s="235"/>
      <c r="EBS1" s="235"/>
      <c r="EBT1" s="235"/>
      <c r="EBU1" s="235"/>
      <c r="EBV1" s="235"/>
      <c r="EBW1" s="235"/>
      <c r="EBX1" s="235"/>
      <c r="EBY1" s="235"/>
      <c r="EBZ1" s="235"/>
      <c r="ECA1" s="235"/>
      <c r="ECB1" s="235"/>
      <c r="ECC1" s="235"/>
      <c r="ECD1" s="235"/>
      <c r="ECE1" s="235"/>
      <c r="ECF1" s="235"/>
      <c r="ECG1" s="235"/>
      <c r="ECH1" s="235"/>
      <c r="ECI1" s="235"/>
      <c r="ECJ1" s="235"/>
      <c r="ECK1" s="235"/>
      <c r="ECL1" s="235"/>
      <c r="ECM1" s="235"/>
      <c r="ECN1" s="235"/>
      <c r="ECO1" s="235"/>
      <c r="ECP1" s="235"/>
      <c r="ECQ1" s="235"/>
      <c r="ECR1" s="235"/>
      <c r="ECS1" s="235"/>
      <c r="ECT1" s="235"/>
      <c r="ECU1" s="235"/>
      <c r="ECV1" s="235"/>
      <c r="ECW1" s="235"/>
      <c r="ECX1" s="235"/>
      <c r="ECY1" s="235"/>
      <c r="ECZ1" s="235"/>
      <c r="EDA1" s="235"/>
      <c r="EDB1" s="235"/>
      <c r="EDC1" s="235"/>
      <c r="EDD1" s="235"/>
      <c r="EDE1" s="235"/>
      <c r="EDF1" s="235"/>
      <c r="EDG1" s="235"/>
      <c r="EDH1" s="235"/>
      <c r="EDI1" s="235"/>
      <c r="EDJ1" s="235"/>
      <c r="EDK1" s="235"/>
      <c r="EDL1" s="235"/>
      <c r="EDM1" s="235"/>
      <c r="EDN1" s="235"/>
      <c r="EDO1" s="235"/>
      <c r="EDP1" s="235"/>
      <c r="EDQ1" s="235"/>
      <c r="EDR1" s="235"/>
      <c r="EDS1" s="235"/>
      <c r="EDT1" s="235"/>
      <c r="EDU1" s="235"/>
      <c r="EDV1" s="235"/>
      <c r="EDW1" s="235"/>
      <c r="EDX1" s="235"/>
      <c r="EDY1" s="235"/>
      <c r="EDZ1" s="235"/>
      <c r="EEA1" s="235"/>
      <c r="EEB1" s="235"/>
      <c r="EEC1" s="235"/>
      <c r="EED1" s="235"/>
      <c r="EEE1" s="235"/>
      <c r="EEF1" s="235"/>
      <c r="EEG1" s="235"/>
      <c r="EEH1" s="235"/>
      <c r="EEI1" s="235"/>
      <c r="EEJ1" s="235"/>
      <c r="EEK1" s="235"/>
      <c r="EEL1" s="235"/>
      <c r="EEM1" s="235"/>
      <c r="EEN1" s="235"/>
      <c r="EEO1" s="235"/>
      <c r="EEP1" s="235"/>
      <c r="EEQ1" s="235"/>
      <c r="EER1" s="235"/>
      <c r="EES1" s="235"/>
      <c r="EET1" s="235"/>
      <c r="EEU1" s="235"/>
      <c r="EEV1" s="235"/>
      <c r="EEW1" s="235"/>
      <c r="EEX1" s="235"/>
      <c r="EEY1" s="235"/>
      <c r="EEZ1" s="235"/>
      <c r="EFA1" s="235"/>
      <c r="EFB1" s="235"/>
      <c r="EFC1" s="235"/>
      <c r="EFD1" s="235"/>
      <c r="EFE1" s="235"/>
      <c r="EFF1" s="235"/>
      <c r="EFG1" s="235"/>
      <c r="EFH1" s="235"/>
      <c r="EFI1" s="235"/>
      <c r="EFJ1" s="235"/>
      <c r="EFK1" s="235"/>
      <c r="EFL1" s="235"/>
      <c r="EFM1" s="235"/>
      <c r="EFN1" s="235"/>
      <c r="EFO1" s="235"/>
      <c r="EFP1" s="235"/>
      <c r="EFQ1" s="235"/>
      <c r="EFR1" s="235"/>
      <c r="EFS1" s="235"/>
      <c r="EFT1" s="235"/>
      <c r="EFU1" s="235"/>
      <c r="EFV1" s="235"/>
      <c r="EFW1" s="235"/>
      <c r="EFX1" s="235"/>
      <c r="EFY1" s="235"/>
      <c r="EFZ1" s="235"/>
      <c r="EGA1" s="235"/>
      <c r="EGB1" s="235"/>
      <c r="EGC1" s="235"/>
      <c r="EGD1" s="235"/>
      <c r="EGE1" s="235"/>
      <c r="EGF1" s="235"/>
      <c r="EGG1" s="235"/>
      <c r="EGH1" s="235"/>
      <c r="EGI1" s="235"/>
      <c r="EGJ1" s="235"/>
      <c r="EGK1" s="235"/>
      <c r="EGL1" s="235"/>
      <c r="EGM1" s="235"/>
      <c r="EGN1" s="235"/>
      <c r="EGO1" s="235"/>
      <c r="EGP1" s="235"/>
      <c r="EGQ1" s="235"/>
      <c r="EGR1" s="235"/>
      <c r="EGS1" s="235"/>
      <c r="EGT1" s="235"/>
      <c r="EGU1" s="235"/>
      <c r="EGV1" s="235"/>
      <c r="EGW1" s="235"/>
      <c r="EGX1" s="235"/>
      <c r="EGY1" s="235"/>
      <c r="EGZ1" s="235"/>
      <c r="EHA1" s="235"/>
      <c r="EHB1" s="235"/>
      <c r="EHC1" s="235"/>
      <c r="EHD1" s="235"/>
      <c r="EHE1" s="235"/>
      <c r="EHF1" s="235"/>
      <c r="EHG1" s="235"/>
      <c r="EHH1" s="235"/>
      <c r="EHI1" s="235"/>
      <c r="EHJ1" s="235"/>
      <c r="EHK1" s="235"/>
      <c r="EHL1" s="235"/>
      <c r="EHM1" s="235"/>
      <c r="EHN1" s="235"/>
      <c r="EHO1" s="235"/>
      <c r="EHP1" s="235"/>
      <c r="EHQ1" s="235"/>
      <c r="EHR1" s="235"/>
      <c r="EHS1" s="235"/>
      <c r="EHT1" s="235"/>
      <c r="EHU1" s="235"/>
      <c r="EHV1" s="235"/>
      <c r="EHW1" s="235"/>
      <c r="EHX1" s="235"/>
      <c r="EHY1" s="235"/>
      <c r="EHZ1" s="235"/>
      <c r="EIA1" s="235"/>
      <c r="EIB1" s="235"/>
      <c r="EIC1" s="235"/>
      <c r="EID1" s="235"/>
      <c r="EIE1" s="235"/>
      <c r="EIF1" s="235"/>
      <c r="EIG1" s="235"/>
      <c r="EIH1" s="235"/>
      <c r="EII1" s="235"/>
      <c r="EIJ1" s="235"/>
      <c r="EIK1" s="235"/>
      <c r="EIL1" s="235"/>
      <c r="EIM1" s="235"/>
      <c r="EIN1" s="235"/>
      <c r="EIO1" s="235"/>
      <c r="EIP1" s="235"/>
      <c r="EIQ1" s="235"/>
      <c r="EIR1" s="235"/>
      <c r="EIS1" s="235"/>
      <c r="EIT1" s="235"/>
      <c r="EIU1" s="235"/>
      <c r="EIV1" s="235"/>
      <c r="EIW1" s="235"/>
      <c r="EIX1" s="235"/>
      <c r="EIY1" s="235"/>
      <c r="EIZ1" s="235"/>
      <c r="EJA1" s="235"/>
      <c r="EJB1" s="235"/>
      <c r="EJC1" s="235"/>
      <c r="EJD1" s="235"/>
      <c r="EJE1" s="235"/>
      <c r="EJF1" s="235"/>
      <c r="EJG1" s="235"/>
      <c r="EJH1" s="235"/>
      <c r="EJI1" s="235"/>
      <c r="EJJ1" s="235"/>
      <c r="EJK1" s="235"/>
      <c r="EJL1" s="235"/>
      <c r="EJM1" s="235"/>
      <c r="EJN1" s="235"/>
      <c r="EJO1" s="235"/>
      <c r="EJP1" s="235"/>
      <c r="EJQ1" s="235"/>
      <c r="EJR1" s="235"/>
      <c r="EJS1" s="235"/>
      <c r="EJT1" s="235"/>
      <c r="EJU1" s="235"/>
      <c r="EJV1" s="235"/>
      <c r="EJW1" s="235"/>
      <c r="EJX1" s="235"/>
      <c r="EJY1" s="235"/>
      <c r="EJZ1" s="235"/>
      <c r="EKA1" s="235"/>
      <c r="EKB1" s="235"/>
      <c r="EKC1" s="235"/>
      <c r="EKD1" s="235"/>
      <c r="EKE1" s="235"/>
      <c r="EKF1" s="235"/>
      <c r="EKG1" s="235"/>
      <c r="EKH1" s="235"/>
      <c r="EKI1" s="235"/>
      <c r="EKJ1" s="235"/>
      <c r="EKK1" s="235"/>
      <c r="EKL1" s="235"/>
      <c r="EKM1" s="235"/>
      <c r="EKN1" s="235"/>
      <c r="EKO1" s="235"/>
      <c r="EKP1" s="235"/>
      <c r="EKQ1" s="235"/>
      <c r="EKR1" s="235"/>
      <c r="EKS1" s="235"/>
      <c r="EKT1" s="235"/>
      <c r="EKU1" s="235"/>
      <c r="EKV1" s="235"/>
      <c r="EKW1" s="235"/>
      <c r="EKX1" s="235"/>
      <c r="EKY1" s="235"/>
      <c r="EKZ1" s="235"/>
      <c r="ELA1" s="235"/>
      <c r="ELB1" s="235"/>
      <c r="ELC1" s="235"/>
      <c r="ELD1" s="235"/>
      <c r="ELE1" s="235"/>
      <c r="ELF1" s="235"/>
      <c r="ELG1" s="235"/>
      <c r="ELH1" s="235"/>
      <c r="ELI1" s="235"/>
      <c r="ELJ1" s="235"/>
      <c r="ELK1" s="235"/>
      <c r="ELL1" s="235"/>
      <c r="ELM1" s="235"/>
      <c r="ELN1" s="235"/>
      <c r="ELO1" s="235"/>
      <c r="ELP1" s="235"/>
      <c r="ELQ1" s="235"/>
      <c r="ELR1" s="235"/>
      <c r="ELS1" s="235"/>
      <c r="ELT1" s="235"/>
      <c r="ELU1" s="235"/>
      <c r="ELV1" s="235"/>
      <c r="ELW1" s="235"/>
      <c r="ELX1" s="235"/>
      <c r="ELY1" s="235"/>
      <c r="ELZ1" s="235"/>
      <c r="EMA1" s="235"/>
      <c r="EMB1" s="235"/>
      <c r="EMC1" s="235"/>
      <c r="EMD1" s="235"/>
      <c r="EME1" s="235"/>
      <c r="EMF1" s="235"/>
      <c r="EMG1" s="235"/>
      <c r="EMH1" s="235"/>
      <c r="EMI1" s="235"/>
      <c r="EMJ1" s="235"/>
      <c r="EMK1" s="235"/>
      <c r="EML1" s="235"/>
      <c r="EMM1" s="235"/>
      <c r="EMN1" s="235"/>
      <c r="EMO1" s="235"/>
      <c r="EMP1" s="235"/>
      <c r="EMQ1" s="235"/>
      <c r="EMR1" s="235"/>
      <c r="EMS1" s="235"/>
      <c r="EMT1" s="235"/>
      <c r="EMU1" s="235"/>
      <c r="EMV1" s="235"/>
      <c r="EMW1" s="235"/>
      <c r="EMX1" s="235"/>
      <c r="EMY1" s="235"/>
      <c r="EMZ1" s="235"/>
      <c r="ENA1" s="235"/>
      <c r="ENB1" s="235"/>
      <c r="ENC1" s="235"/>
      <c r="END1" s="235"/>
      <c r="ENE1" s="235"/>
      <c r="ENF1" s="235"/>
      <c r="ENG1" s="235"/>
      <c r="ENH1" s="235"/>
      <c r="ENI1" s="235"/>
      <c r="ENJ1" s="235"/>
      <c r="ENK1" s="235"/>
      <c r="ENL1" s="235"/>
      <c r="ENM1" s="235"/>
      <c r="ENN1" s="235"/>
      <c r="ENO1" s="235"/>
      <c r="ENP1" s="235"/>
      <c r="ENQ1" s="235"/>
      <c r="ENR1" s="235"/>
      <c r="ENS1" s="235"/>
      <c r="ENT1" s="235"/>
      <c r="ENU1" s="235"/>
      <c r="ENV1" s="235"/>
      <c r="ENW1" s="235"/>
      <c r="ENX1" s="235"/>
      <c r="ENY1" s="235"/>
      <c r="ENZ1" s="235"/>
      <c r="EOA1" s="235"/>
      <c r="EOB1" s="235"/>
      <c r="EOC1" s="235"/>
      <c r="EOD1" s="235"/>
      <c r="EOE1" s="235"/>
      <c r="EOF1" s="235"/>
      <c r="EOG1" s="235"/>
      <c r="EOH1" s="235"/>
      <c r="EOI1" s="235"/>
      <c r="EOJ1" s="235"/>
      <c r="EOK1" s="235"/>
      <c r="EOL1" s="235"/>
      <c r="EOM1" s="235"/>
      <c r="EON1" s="235"/>
      <c r="EOO1" s="235"/>
      <c r="EOP1" s="235"/>
      <c r="EOQ1" s="235"/>
      <c r="EOR1" s="235"/>
      <c r="EOS1" s="235"/>
      <c r="EOT1" s="235"/>
      <c r="EOU1" s="235"/>
      <c r="EOV1" s="235"/>
      <c r="EOW1" s="235"/>
      <c r="EOX1" s="235"/>
      <c r="EOY1" s="235"/>
      <c r="EOZ1" s="235"/>
      <c r="EPA1" s="235"/>
      <c r="EPB1" s="235"/>
      <c r="EPC1" s="235"/>
      <c r="EPD1" s="235"/>
      <c r="EPE1" s="235"/>
      <c r="EPF1" s="235"/>
      <c r="EPG1" s="235"/>
      <c r="EPH1" s="235"/>
      <c r="EPI1" s="235"/>
      <c r="EPJ1" s="235"/>
      <c r="EPK1" s="235"/>
      <c r="EPL1" s="235"/>
      <c r="EPM1" s="235"/>
      <c r="EPN1" s="235"/>
      <c r="EPO1" s="235"/>
      <c r="EPP1" s="235"/>
      <c r="EPQ1" s="235"/>
      <c r="EPR1" s="235"/>
      <c r="EPS1" s="235"/>
      <c r="EPT1" s="235"/>
      <c r="EPU1" s="235"/>
      <c r="EPV1" s="235"/>
      <c r="EPW1" s="235"/>
      <c r="EPX1" s="235"/>
      <c r="EPY1" s="235"/>
      <c r="EPZ1" s="235"/>
      <c r="EQA1" s="235"/>
      <c r="EQB1" s="235"/>
      <c r="EQC1" s="235"/>
      <c r="EQD1" s="235"/>
      <c r="EQE1" s="235"/>
      <c r="EQF1" s="235"/>
      <c r="EQG1" s="235"/>
      <c r="EQH1" s="235"/>
      <c r="EQI1" s="235"/>
      <c r="EQJ1" s="235"/>
      <c r="EQK1" s="235"/>
      <c r="EQL1" s="235"/>
      <c r="EQM1" s="235"/>
      <c r="EQN1" s="235"/>
      <c r="EQO1" s="235"/>
      <c r="EQP1" s="235"/>
      <c r="EQQ1" s="235"/>
      <c r="EQR1" s="235"/>
      <c r="EQS1" s="235"/>
      <c r="EQT1" s="235"/>
      <c r="EQU1" s="235"/>
      <c r="EQV1" s="235"/>
      <c r="EQW1" s="235"/>
      <c r="EQX1" s="235"/>
      <c r="EQY1" s="235"/>
      <c r="EQZ1" s="235"/>
      <c r="ERA1" s="235"/>
      <c r="ERB1" s="235"/>
      <c r="ERC1" s="235"/>
      <c r="ERD1" s="235"/>
      <c r="ERE1" s="235"/>
      <c r="ERF1" s="235"/>
      <c r="ERG1" s="235"/>
      <c r="ERH1" s="235"/>
      <c r="ERI1" s="235"/>
      <c r="ERJ1" s="235"/>
      <c r="ERK1" s="235"/>
      <c r="ERL1" s="235"/>
      <c r="ERM1" s="235"/>
      <c r="ERN1" s="235"/>
      <c r="ERO1" s="235"/>
      <c r="ERP1" s="235"/>
      <c r="ERQ1" s="235"/>
      <c r="ERR1" s="235"/>
      <c r="ERS1" s="235"/>
      <c r="ERT1" s="235"/>
      <c r="ERU1" s="235"/>
      <c r="ERV1" s="235"/>
      <c r="ERW1" s="235"/>
      <c r="ERX1" s="235"/>
      <c r="ERY1" s="235"/>
      <c r="ERZ1" s="235"/>
      <c r="ESA1" s="235"/>
      <c r="ESB1" s="235"/>
      <c r="ESC1" s="235"/>
      <c r="ESD1" s="235"/>
      <c r="ESE1" s="235"/>
      <c r="ESF1" s="235"/>
      <c r="ESG1" s="235"/>
      <c r="ESH1" s="235"/>
      <c r="ESI1" s="235"/>
      <c r="ESJ1" s="235"/>
      <c r="ESK1" s="235"/>
      <c r="ESL1" s="235"/>
      <c r="ESM1" s="235"/>
      <c r="ESN1" s="235"/>
      <c r="ESO1" s="235"/>
      <c r="ESP1" s="235"/>
      <c r="ESQ1" s="235"/>
      <c r="ESR1" s="235"/>
      <c r="ESS1" s="235"/>
      <c r="EST1" s="235"/>
      <c r="ESU1" s="235"/>
      <c r="ESV1" s="235"/>
      <c r="ESW1" s="235"/>
      <c r="ESX1" s="235"/>
      <c r="ESY1" s="235"/>
      <c r="ESZ1" s="235"/>
      <c r="ETA1" s="235"/>
      <c r="ETB1" s="235"/>
      <c r="ETC1" s="235"/>
      <c r="ETD1" s="235"/>
      <c r="ETE1" s="235"/>
      <c r="ETF1" s="235"/>
      <c r="ETG1" s="235"/>
      <c r="ETH1" s="235"/>
      <c r="ETI1" s="235"/>
      <c r="ETJ1" s="235"/>
      <c r="ETK1" s="235"/>
      <c r="ETL1" s="235"/>
      <c r="ETM1" s="235"/>
      <c r="ETN1" s="235"/>
      <c r="ETO1" s="235"/>
      <c r="ETP1" s="235"/>
      <c r="ETQ1" s="235"/>
      <c r="ETR1" s="235"/>
      <c r="ETS1" s="235"/>
      <c r="ETT1" s="235"/>
      <c r="ETU1" s="235"/>
      <c r="ETV1" s="235"/>
      <c r="ETW1" s="235"/>
      <c r="ETX1" s="235"/>
      <c r="ETY1" s="235"/>
      <c r="ETZ1" s="235"/>
      <c r="EUA1" s="235"/>
      <c r="EUB1" s="235"/>
      <c r="EUC1" s="235"/>
      <c r="EUD1" s="235"/>
      <c r="EUE1" s="235"/>
      <c r="EUF1" s="235"/>
      <c r="EUG1" s="235"/>
      <c r="EUH1" s="235"/>
      <c r="EUI1" s="235"/>
      <c r="EUJ1" s="235"/>
      <c r="EUK1" s="235"/>
      <c r="EUL1" s="235"/>
      <c r="EUM1" s="235"/>
      <c r="EUN1" s="235"/>
      <c r="EUO1" s="235"/>
      <c r="EUP1" s="235"/>
      <c r="EUQ1" s="235"/>
      <c r="EUR1" s="235"/>
      <c r="EUS1" s="235"/>
      <c r="EUT1" s="235"/>
      <c r="EUU1" s="235"/>
      <c r="EUV1" s="235"/>
      <c r="EUW1" s="235"/>
      <c r="EUX1" s="235"/>
      <c r="EUY1" s="235"/>
      <c r="EUZ1" s="235"/>
      <c r="EVA1" s="235"/>
      <c r="EVB1" s="235"/>
      <c r="EVC1" s="235"/>
      <c r="EVD1" s="235"/>
      <c r="EVE1" s="235"/>
      <c r="EVF1" s="235"/>
      <c r="EVG1" s="235"/>
      <c r="EVH1" s="235"/>
      <c r="EVI1" s="235"/>
      <c r="EVJ1" s="235"/>
      <c r="EVK1" s="235"/>
      <c r="EVL1" s="235"/>
      <c r="EVM1" s="235"/>
      <c r="EVN1" s="235"/>
      <c r="EVO1" s="235"/>
      <c r="EVP1" s="235"/>
      <c r="EVQ1" s="235"/>
      <c r="EVR1" s="235"/>
      <c r="EVS1" s="235"/>
      <c r="EVT1" s="235"/>
      <c r="EVU1" s="235"/>
      <c r="EVV1" s="235"/>
      <c r="EVW1" s="235"/>
      <c r="EVX1" s="235"/>
      <c r="EVY1" s="235"/>
      <c r="EVZ1" s="235"/>
      <c r="EWA1" s="235"/>
      <c r="EWB1" s="235"/>
      <c r="EWC1" s="235"/>
      <c r="EWD1" s="235"/>
      <c r="EWE1" s="235"/>
      <c r="EWF1" s="235"/>
      <c r="EWG1" s="235"/>
      <c r="EWH1" s="235"/>
      <c r="EWI1" s="235"/>
      <c r="EWJ1" s="235"/>
      <c r="EWK1" s="235"/>
      <c r="EWL1" s="235"/>
      <c r="EWM1" s="235"/>
      <c r="EWN1" s="235"/>
      <c r="EWO1" s="235"/>
      <c r="EWP1" s="235"/>
      <c r="EWQ1" s="235"/>
      <c r="EWR1" s="235"/>
      <c r="EWS1" s="235"/>
      <c r="EWT1" s="235"/>
      <c r="EWU1" s="235"/>
      <c r="EWV1" s="235"/>
      <c r="EWW1" s="235"/>
      <c r="EWX1" s="235"/>
      <c r="EWY1" s="235"/>
      <c r="EWZ1" s="235"/>
      <c r="EXA1" s="235"/>
      <c r="EXB1" s="235"/>
      <c r="EXC1" s="235"/>
      <c r="EXD1" s="235"/>
      <c r="EXE1" s="235"/>
      <c r="EXF1" s="235"/>
      <c r="EXG1" s="235"/>
      <c r="EXH1" s="235"/>
      <c r="EXI1" s="235"/>
      <c r="EXJ1" s="235"/>
      <c r="EXK1" s="235"/>
      <c r="EXL1" s="235"/>
      <c r="EXM1" s="235"/>
      <c r="EXN1" s="235"/>
      <c r="EXO1" s="235"/>
      <c r="EXP1" s="235"/>
      <c r="EXQ1" s="235"/>
      <c r="EXR1" s="235"/>
      <c r="EXS1" s="235"/>
      <c r="EXT1" s="235"/>
      <c r="EXU1" s="235"/>
      <c r="EXV1" s="235"/>
      <c r="EXW1" s="235"/>
      <c r="EXX1" s="235"/>
      <c r="EXY1" s="235"/>
      <c r="EXZ1" s="235"/>
      <c r="EYA1" s="235"/>
      <c r="EYB1" s="235"/>
      <c r="EYC1" s="235"/>
      <c r="EYD1" s="235"/>
      <c r="EYE1" s="235"/>
      <c r="EYF1" s="235"/>
      <c r="EYG1" s="235"/>
      <c r="EYH1" s="235"/>
      <c r="EYI1" s="235"/>
      <c r="EYJ1" s="235"/>
      <c r="EYK1" s="235"/>
      <c r="EYL1" s="235"/>
      <c r="EYM1" s="235"/>
      <c r="EYN1" s="235"/>
      <c r="EYO1" s="235"/>
      <c r="EYP1" s="235"/>
      <c r="EYQ1" s="235"/>
      <c r="EYR1" s="235"/>
      <c r="EYS1" s="235"/>
      <c r="EYT1" s="235"/>
      <c r="EYU1" s="235"/>
      <c r="EYV1" s="235"/>
      <c r="EYW1" s="235"/>
      <c r="EYX1" s="235"/>
      <c r="EYY1" s="235"/>
      <c r="EYZ1" s="235"/>
      <c r="EZA1" s="235"/>
      <c r="EZB1" s="235"/>
      <c r="EZC1" s="235"/>
      <c r="EZD1" s="235"/>
      <c r="EZE1" s="235"/>
      <c r="EZF1" s="235"/>
      <c r="EZG1" s="235"/>
      <c r="EZH1" s="235"/>
      <c r="EZI1" s="235"/>
      <c r="EZJ1" s="235"/>
      <c r="EZK1" s="235"/>
      <c r="EZL1" s="235"/>
      <c r="EZM1" s="235"/>
      <c r="EZN1" s="235"/>
      <c r="EZO1" s="235"/>
      <c r="EZP1" s="235"/>
      <c r="EZQ1" s="235"/>
      <c r="EZR1" s="235"/>
      <c r="EZS1" s="235"/>
      <c r="EZT1" s="235"/>
      <c r="EZU1" s="235"/>
      <c r="EZV1" s="235"/>
      <c r="EZW1" s="235"/>
      <c r="EZX1" s="235"/>
      <c r="EZY1" s="235"/>
      <c r="EZZ1" s="235"/>
      <c r="FAA1" s="235"/>
      <c r="FAB1" s="235"/>
      <c r="FAC1" s="235"/>
      <c r="FAD1" s="235"/>
      <c r="FAE1" s="235"/>
      <c r="FAF1" s="235"/>
      <c r="FAG1" s="235"/>
      <c r="FAH1" s="235"/>
      <c r="FAI1" s="235"/>
      <c r="FAJ1" s="235"/>
      <c r="FAK1" s="235"/>
      <c r="FAL1" s="235"/>
      <c r="FAM1" s="235"/>
      <c r="FAN1" s="235"/>
      <c r="FAO1" s="235"/>
      <c r="FAP1" s="235"/>
      <c r="FAQ1" s="235"/>
      <c r="FAR1" s="235"/>
      <c r="FAS1" s="235"/>
      <c r="FAT1" s="235"/>
      <c r="FAU1" s="235"/>
      <c r="FAV1" s="235"/>
      <c r="FAW1" s="235"/>
      <c r="FAX1" s="235"/>
      <c r="FAY1" s="235"/>
      <c r="FAZ1" s="235"/>
      <c r="FBA1" s="235"/>
      <c r="FBB1" s="235"/>
      <c r="FBC1" s="235"/>
      <c r="FBD1" s="235"/>
      <c r="FBE1" s="235"/>
      <c r="FBF1" s="235"/>
      <c r="FBG1" s="235"/>
      <c r="FBH1" s="235"/>
      <c r="FBI1" s="235"/>
      <c r="FBJ1" s="235"/>
      <c r="FBK1" s="235"/>
      <c r="FBL1" s="235"/>
      <c r="FBM1" s="235"/>
      <c r="FBN1" s="235"/>
      <c r="FBO1" s="235"/>
      <c r="FBP1" s="235"/>
      <c r="FBQ1" s="235"/>
      <c r="FBR1" s="235"/>
      <c r="FBS1" s="235"/>
      <c r="FBT1" s="235"/>
      <c r="FBU1" s="235"/>
      <c r="FBV1" s="235"/>
      <c r="FBW1" s="235"/>
      <c r="FBX1" s="235"/>
      <c r="FBY1" s="235"/>
      <c r="FBZ1" s="235"/>
      <c r="FCA1" s="235"/>
      <c r="FCB1" s="235"/>
      <c r="FCC1" s="235"/>
      <c r="FCD1" s="235"/>
      <c r="FCE1" s="235"/>
      <c r="FCF1" s="235"/>
      <c r="FCG1" s="235"/>
      <c r="FCH1" s="235"/>
      <c r="FCI1" s="235"/>
      <c r="FCJ1" s="235"/>
      <c r="FCK1" s="235"/>
      <c r="FCL1" s="235"/>
      <c r="FCM1" s="235"/>
      <c r="FCN1" s="235"/>
      <c r="FCO1" s="235"/>
      <c r="FCP1" s="235"/>
      <c r="FCQ1" s="235"/>
      <c r="FCR1" s="235"/>
      <c r="FCS1" s="235"/>
      <c r="FCT1" s="235"/>
      <c r="FCU1" s="235"/>
      <c r="FCV1" s="235"/>
      <c r="FCW1" s="235"/>
      <c r="FCX1" s="235"/>
      <c r="FCY1" s="235"/>
      <c r="FCZ1" s="235"/>
      <c r="FDA1" s="235"/>
      <c r="FDB1" s="235"/>
      <c r="FDC1" s="235"/>
      <c r="FDD1" s="235"/>
      <c r="FDE1" s="235"/>
      <c r="FDF1" s="235"/>
      <c r="FDG1" s="235"/>
      <c r="FDH1" s="235"/>
      <c r="FDI1" s="235"/>
      <c r="FDJ1" s="235"/>
      <c r="FDK1" s="235"/>
      <c r="FDL1" s="235"/>
      <c r="FDM1" s="235"/>
      <c r="FDN1" s="235"/>
      <c r="FDO1" s="235"/>
      <c r="FDP1" s="235"/>
      <c r="FDQ1" s="235"/>
      <c r="FDR1" s="235"/>
      <c r="FDS1" s="235"/>
      <c r="FDT1" s="235"/>
      <c r="FDU1" s="235"/>
      <c r="FDV1" s="235"/>
      <c r="FDW1" s="235"/>
      <c r="FDX1" s="235"/>
      <c r="FDY1" s="235"/>
      <c r="FDZ1" s="235"/>
      <c r="FEA1" s="235"/>
      <c r="FEB1" s="235"/>
      <c r="FEC1" s="235"/>
      <c r="FED1" s="235"/>
      <c r="FEE1" s="235"/>
      <c r="FEF1" s="235"/>
      <c r="FEG1" s="235"/>
      <c r="FEH1" s="235"/>
      <c r="FEI1" s="235"/>
      <c r="FEJ1" s="235"/>
      <c r="FEK1" s="235"/>
      <c r="FEL1" s="235"/>
      <c r="FEM1" s="235"/>
      <c r="FEN1" s="235"/>
      <c r="FEO1" s="235"/>
      <c r="FEP1" s="235"/>
      <c r="FEQ1" s="235"/>
      <c r="FER1" s="235"/>
      <c r="FES1" s="235"/>
      <c r="FET1" s="235"/>
      <c r="FEU1" s="235"/>
      <c r="FEV1" s="235"/>
      <c r="FEW1" s="235"/>
      <c r="FEX1" s="235"/>
      <c r="FEY1" s="235"/>
      <c r="FEZ1" s="235"/>
      <c r="FFA1" s="235"/>
      <c r="FFB1" s="235"/>
      <c r="FFC1" s="235"/>
      <c r="FFD1" s="235"/>
      <c r="FFE1" s="235"/>
      <c r="FFF1" s="235"/>
      <c r="FFG1" s="235"/>
      <c r="FFH1" s="235"/>
      <c r="FFI1" s="235"/>
      <c r="FFJ1" s="235"/>
      <c r="FFK1" s="235"/>
      <c r="FFL1" s="235"/>
      <c r="FFM1" s="235"/>
      <c r="FFN1" s="235"/>
      <c r="FFO1" s="235"/>
      <c r="FFP1" s="235"/>
      <c r="FFQ1" s="235"/>
      <c r="FFR1" s="235"/>
      <c r="FFS1" s="235"/>
      <c r="FFT1" s="235"/>
      <c r="FFU1" s="235"/>
      <c r="FFV1" s="235"/>
      <c r="FFW1" s="235"/>
      <c r="FFX1" s="235"/>
      <c r="FFY1" s="235"/>
      <c r="FFZ1" s="235"/>
      <c r="FGA1" s="235"/>
      <c r="FGB1" s="235"/>
      <c r="FGC1" s="235"/>
      <c r="FGD1" s="235"/>
      <c r="FGE1" s="235"/>
      <c r="FGF1" s="235"/>
      <c r="FGG1" s="235"/>
      <c r="FGH1" s="235"/>
      <c r="FGI1" s="235"/>
      <c r="FGJ1" s="235"/>
      <c r="FGK1" s="235"/>
      <c r="FGL1" s="235"/>
      <c r="FGM1" s="235"/>
      <c r="FGN1" s="235"/>
      <c r="FGO1" s="235"/>
      <c r="FGP1" s="235"/>
      <c r="FGQ1" s="235"/>
      <c r="FGR1" s="235"/>
      <c r="FGS1" s="235"/>
      <c r="FGT1" s="235"/>
      <c r="FGU1" s="235"/>
      <c r="FGV1" s="235"/>
      <c r="FGW1" s="235"/>
      <c r="FGX1" s="235"/>
      <c r="FGY1" s="235"/>
      <c r="FGZ1" s="235"/>
      <c r="FHA1" s="235"/>
      <c r="FHB1" s="235"/>
      <c r="FHC1" s="235"/>
      <c r="FHD1" s="235"/>
      <c r="FHE1" s="235"/>
      <c r="FHF1" s="235"/>
      <c r="FHG1" s="235"/>
      <c r="FHH1" s="235"/>
      <c r="FHI1" s="235"/>
      <c r="FHJ1" s="235"/>
      <c r="FHK1" s="235"/>
      <c r="FHL1" s="235"/>
      <c r="FHM1" s="235"/>
      <c r="FHN1" s="235"/>
      <c r="FHO1" s="235"/>
      <c r="FHP1" s="235"/>
      <c r="FHQ1" s="235"/>
      <c r="FHR1" s="235"/>
      <c r="FHS1" s="235"/>
      <c r="FHT1" s="235"/>
      <c r="FHU1" s="235"/>
      <c r="FHV1" s="235"/>
      <c r="FHW1" s="235"/>
      <c r="FHX1" s="235"/>
      <c r="FHY1" s="235"/>
      <c r="FHZ1" s="235"/>
      <c r="FIA1" s="235"/>
      <c r="FIB1" s="235"/>
      <c r="FIC1" s="235"/>
      <c r="FID1" s="235"/>
      <c r="FIE1" s="235"/>
      <c r="FIF1" s="235"/>
      <c r="FIG1" s="235"/>
      <c r="FIH1" s="235"/>
      <c r="FII1" s="235"/>
      <c r="FIJ1" s="235"/>
      <c r="FIK1" s="235"/>
      <c r="FIL1" s="235"/>
      <c r="FIM1" s="235"/>
      <c r="FIN1" s="235"/>
      <c r="FIO1" s="235"/>
      <c r="FIP1" s="235"/>
      <c r="FIQ1" s="235"/>
      <c r="FIR1" s="235"/>
      <c r="FIS1" s="235"/>
      <c r="FIT1" s="235"/>
      <c r="FIU1" s="235"/>
      <c r="FIV1" s="235"/>
      <c r="FIW1" s="235"/>
      <c r="FIX1" s="235"/>
      <c r="FIY1" s="235"/>
      <c r="FIZ1" s="235"/>
      <c r="FJA1" s="235"/>
      <c r="FJB1" s="235"/>
      <c r="FJC1" s="235"/>
      <c r="FJD1" s="235"/>
      <c r="FJE1" s="235"/>
      <c r="FJF1" s="235"/>
      <c r="FJG1" s="235"/>
      <c r="FJH1" s="235"/>
      <c r="FJI1" s="235"/>
      <c r="FJJ1" s="235"/>
      <c r="FJK1" s="235"/>
      <c r="FJL1" s="235"/>
      <c r="FJM1" s="235"/>
      <c r="FJN1" s="235"/>
      <c r="FJO1" s="235"/>
      <c r="FJP1" s="235"/>
      <c r="FJQ1" s="235"/>
      <c r="FJR1" s="235"/>
      <c r="FJS1" s="235"/>
      <c r="FJT1" s="235"/>
      <c r="FJU1" s="235"/>
      <c r="FJV1" s="235"/>
      <c r="FJW1" s="235"/>
      <c r="FJX1" s="235"/>
      <c r="FJY1" s="235"/>
      <c r="FJZ1" s="235"/>
      <c r="FKA1" s="235"/>
      <c r="FKB1" s="235"/>
      <c r="FKC1" s="235"/>
      <c r="FKD1" s="235"/>
      <c r="FKE1" s="235"/>
      <c r="FKF1" s="235"/>
      <c r="FKG1" s="235"/>
      <c r="FKH1" s="235"/>
      <c r="FKI1" s="235"/>
      <c r="FKJ1" s="235"/>
      <c r="FKK1" s="235"/>
      <c r="FKL1" s="235"/>
      <c r="FKM1" s="235"/>
      <c r="FKN1" s="235"/>
      <c r="FKO1" s="235"/>
      <c r="FKP1" s="235"/>
      <c r="FKQ1" s="235"/>
      <c r="FKR1" s="235"/>
      <c r="FKS1" s="235"/>
      <c r="FKT1" s="235"/>
      <c r="FKU1" s="235"/>
      <c r="FKV1" s="235"/>
      <c r="FKW1" s="235"/>
      <c r="FKX1" s="235"/>
      <c r="FKY1" s="235"/>
      <c r="FKZ1" s="235"/>
      <c r="FLA1" s="235"/>
      <c r="FLB1" s="235"/>
      <c r="FLC1" s="235"/>
      <c r="FLD1" s="235"/>
      <c r="FLE1" s="235"/>
      <c r="FLF1" s="235"/>
      <c r="FLG1" s="235"/>
      <c r="FLH1" s="235"/>
      <c r="FLI1" s="235"/>
      <c r="FLJ1" s="235"/>
      <c r="FLK1" s="235"/>
      <c r="FLL1" s="235"/>
      <c r="FLM1" s="235"/>
      <c r="FLN1" s="235"/>
      <c r="FLO1" s="235"/>
      <c r="FLP1" s="235"/>
      <c r="FLQ1" s="235"/>
      <c r="FLR1" s="235"/>
      <c r="FLS1" s="235"/>
      <c r="FLT1" s="235"/>
      <c r="FLU1" s="235"/>
      <c r="FLV1" s="235"/>
      <c r="FLW1" s="235"/>
      <c r="FLX1" s="235"/>
      <c r="FLY1" s="235"/>
      <c r="FLZ1" s="235"/>
      <c r="FMA1" s="235"/>
      <c r="FMB1" s="235"/>
      <c r="FMC1" s="235"/>
      <c r="FMD1" s="235"/>
      <c r="FME1" s="235"/>
      <c r="FMF1" s="235"/>
      <c r="FMG1" s="235"/>
      <c r="FMH1" s="235"/>
      <c r="FMI1" s="235"/>
      <c r="FMJ1" s="235"/>
      <c r="FMK1" s="235"/>
      <c r="FML1" s="235"/>
      <c r="FMM1" s="235"/>
      <c r="FMN1" s="235"/>
      <c r="FMO1" s="235"/>
      <c r="FMP1" s="235"/>
      <c r="FMQ1" s="235"/>
      <c r="FMR1" s="235"/>
      <c r="FMS1" s="235"/>
      <c r="FMT1" s="235"/>
      <c r="FMU1" s="235"/>
      <c r="FMV1" s="235"/>
      <c r="FMW1" s="235"/>
      <c r="FMX1" s="235"/>
      <c r="FMY1" s="235"/>
      <c r="FMZ1" s="235"/>
      <c r="FNA1" s="235"/>
      <c r="FNB1" s="235"/>
      <c r="FNC1" s="235"/>
      <c r="FND1" s="235"/>
      <c r="FNE1" s="235"/>
      <c r="FNF1" s="235"/>
      <c r="FNG1" s="235"/>
      <c r="FNH1" s="235"/>
      <c r="FNI1" s="235"/>
      <c r="FNJ1" s="235"/>
      <c r="FNK1" s="235"/>
      <c r="FNL1" s="235"/>
      <c r="FNM1" s="235"/>
      <c r="FNN1" s="235"/>
      <c r="FNO1" s="235"/>
      <c r="FNP1" s="235"/>
      <c r="FNQ1" s="235"/>
      <c r="FNR1" s="235"/>
      <c r="FNS1" s="235"/>
      <c r="FNT1" s="235"/>
      <c r="FNU1" s="235"/>
      <c r="FNV1" s="235"/>
      <c r="FNW1" s="235"/>
      <c r="FNX1" s="235"/>
      <c r="FNY1" s="235"/>
      <c r="FNZ1" s="235"/>
      <c r="FOA1" s="235"/>
      <c r="FOB1" s="235"/>
      <c r="FOC1" s="235"/>
      <c r="FOD1" s="235"/>
      <c r="FOE1" s="235"/>
      <c r="FOF1" s="235"/>
      <c r="FOG1" s="235"/>
      <c r="FOH1" s="235"/>
      <c r="FOI1" s="235"/>
      <c r="FOJ1" s="235"/>
      <c r="FOK1" s="235"/>
      <c r="FOL1" s="235"/>
      <c r="FOM1" s="235"/>
      <c r="FON1" s="235"/>
      <c r="FOO1" s="235"/>
      <c r="FOP1" s="235"/>
      <c r="FOQ1" s="235"/>
      <c r="FOR1" s="235"/>
      <c r="FOS1" s="235"/>
      <c r="FOT1" s="235"/>
      <c r="FOU1" s="235"/>
      <c r="FOV1" s="235"/>
      <c r="FOW1" s="235"/>
      <c r="FOX1" s="235"/>
      <c r="FOY1" s="235"/>
      <c r="FOZ1" s="235"/>
      <c r="FPA1" s="235"/>
      <c r="FPB1" s="235"/>
      <c r="FPC1" s="235"/>
      <c r="FPD1" s="235"/>
      <c r="FPE1" s="235"/>
      <c r="FPF1" s="235"/>
      <c r="FPG1" s="235"/>
      <c r="FPH1" s="235"/>
      <c r="FPI1" s="235"/>
      <c r="FPJ1" s="235"/>
      <c r="FPK1" s="235"/>
      <c r="FPL1" s="235"/>
      <c r="FPM1" s="235"/>
      <c r="FPN1" s="235"/>
      <c r="FPO1" s="235"/>
      <c r="FPP1" s="235"/>
      <c r="FPQ1" s="235"/>
      <c r="FPR1" s="235"/>
      <c r="FPS1" s="235"/>
      <c r="FPT1" s="235"/>
      <c r="FPU1" s="235"/>
      <c r="FPV1" s="235"/>
      <c r="FPW1" s="235"/>
      <c r="FPX1" s="235"/>
      <c r="FPY1" s="235"/>
      <c r="FPZ1" s="235"/>
      <c r="FQA1" s="235"/>
      <c r="FQB1" s="235"/>
      <c r="FQC1" s="235"/>
      <c r="FQD1" s="235"/>
      <c r="FQE1" s="235"/>
      <c r="FQF1" s="235"/>
      <c r="FQG1" s="235"/>
      <c r="FQH1" s="235"/>
      <c r="FQI1" s="235"/>
      <c r="FQJ1" s="235"/>
      <c r="FQK1" s="235"/>
      <c r="FQL1" s="235"/>
      <c r="FQM1" s="235"/>
      <c r="FQN1" s="235"/>
      <c r="FQO1" s="235"/>
      <c r="FQP1" s="235"/>
      <c r="FQQ1" s="235"/>
      <c r="FQR1" s="235"/>
      <c r="FQS1" s="235"/>
      <c r="FQT1" s="235"/>
      <c r="FQU1" s="235"/>
      <c r="FQV1" s="235"/>
      <c r="FQW1" s="235"/>
      <c r="FQX1" s="235"/>
      <c r="FQY1" s="235"/>
      <c r="FQZ1" s="235"/>
      <c r="FRA1" s="235"/>
      <c r="FRB1" s="235"/>
      <c r="FRC1" s="235"/>
      <c r="FRD1" s="235"/>
      <c r="FRE1" s="235"/>
      <c r="FRF1" s="235"/>
      <c r="FRG1" s="235"/>
      <c r="FRH1" s="235"/>
      <c r="FRI1" s="235"/>
      <c r="FRJ1" s="235"/>
      <c r="FRK1" s="235"/>
      <c r="FRL1" s="235"/>
      <c r="FRM1" s="235"/>
      <c r="FRN1" s="235"/>
      <c r="FRO1" s="235"/>
      <c r="FRP1" s="235"/>
      <c r="FRQ1" s="235"/>
      <c r="FRR1" s="235"/>
      <c r="FRS1" s="235"/>
      <c r="FRT1" s="235"/>
      <c r="FRU1" s="235"/>
      <c r="FRV1" s="235"/>
      <c r="FRW1" s="235"/>
      <c r="FRX1" s="235"/>
      <c r="FRY1" s="235"/>
      <c r="FRZ1" s="235"/>
      <c r="FSA1" s="235"/>
      <c r="FSB1" s="235"/>
      <c r="FSC1" s="235"/>
      <c r="FSD1" s="235"/>
      <c r="FSE1" s="235"/>
      <c r="FSF1" s="235"/>
      <c r="FSG1" s="235"/>
      <c r="FSH1" s="235"/>
      <c r="FSI1" s="235"/>
      <c r="FSJ1" s="235"/>
      <c r="FSK1" s="235"/>
      <c r="FSL1" s="235"/>
      <c r="FSM1" s="235"/>
      <c r="FSN1" s="235"/>
      <c r="FSO1" s="235"/>
      <c r="FSP1" s="235"/>
      <c r="FSQ1" s="235"/>
      <c r="FSR1" s="235"/>
      <c r="FSS1" s="235"/>
      <c r="FST1" s="235"/>
      <c r="FSU1" s="235"/>
      <c r="FSV1" s="235"/>
      <c r="FSW1" s="235"/>
      <c r="FSX1" s="235"/>
      <c r="FSY1" s="235"/>
      <c r="FSZ1" s="235"/>
      <c r="FTA1" s="235"/>
      <c r="FTB1" s="235"/>
      <c r="FTC1" s="235"/>
      <c r="FTD1" s="235"/>
      <c r="FTE1" s="235"/>
      <c r="FTF1" s="235"/>
      <c r="FTG1" s="235"/>
      <c r="FTH1" s="235"/>
      <c r="FTI1" s="235"/>
      <c r="FTJ1" s="235"/>
      <c r="FTK1" s="235"/>
      <c r="FTL1" s="235"/>
      <c r="FTM1" s="235"/>
      <c r="FTN1" s="235"/>
      <c r="FTO1" s="235"/>
      <c r="FTP1" s="235"/>
      <c r="FTQ1" s="235"/>
      <c r="FTR1" s="235"/>
      <c r="FTS1" s="235"/>
      <c r="FTT1" s="235"/>
      <c r="FTU1" s="235"/>
      <c r="FTV1" s="235"/>
      <c r="FTW1" s="235"/>
      <c r="FTX1" s="235"/>
      <c r="FTY1" s="235"/>
      <c r="FTZ1" s="235"/>
      <c r="FUA1" s="235"/>
      <c r="FUB1" s="235"/>
      <c r="FUC1" s="235"/>
      <c r="FUD1" s="235"/>
      <c r="FUE1" s="235"/>
      <c r="FUF1" s="235"/>
      <c r="FUG1" s="235"/>
      <c r="FUH1" s="235"/>
      <c r="FUI1" s="235"/>
      <c r="FUJ1" s="235"/>
      <c r="FUK1" s="235"/>
      <c r="FUL1" s="235"/>
      <c r="FUM1" s="235"/>
      <c r="FUN1" s="235"/>
      <c r="FUO1" s="235"/>
      <c r="FUP1" s="235"/>
      <c r="FUQ1" s="235"/>
      <c r="FUR1" s="235"/>
      <c r="FUS1" s="235"/>
      <c r="FUT1" s="235"/>
      <c r="FUU1" s="235"/>
      <c r="FUV1" s="235"/>
      <c r="FUW1" s="235"/>
      <c r="FUX1" s="235"/>
      <c r="FUY1" s="235"/>
      <c r="FUZ1" s="235"/>
      <c r="FVA1" s="235"/>
      <c r="FVB1" s="235"/>
      <c r="FVC1" s="235"/>
      <c r="FVD1" s="235"/>
      <c r="FVE1" s="235"/>
      <c r="FVF1" s="235"/>
      <c r="FVG1" s="235"/>
      <c r="FVH1" s="235"/>
      <c r="FVI1" s="235"/>
      <c r="FVJ1" s="235"/>
      <c r="FVK1" s="235"/>
      <c r="FVL1" s="235"/>
      <c r="FVM1" s="235"/>
      <c r="FVN1" s="235"/>
      <c r="FVO1" s="235"/>
      <c r="FVP1" s="235"/>
      <c r="FVQ1" s="235"/>
      <c r="FVR1" s="235"/>
      <c r="FVS1" s="235"/>
      <c r="FVT1" s="235"/>
      <c r="FVU1" s="235"/>
      <c r="FVV1" s="235"/>
      <c r="FVW1" s="235"/>
      <c r="FVX1" s="235"/>
      <c r="FVY1" s="235"/>
      <c r="FVZ1" s="235"/>
      <c r="FWA1" s="235"/>
      <c r="FWB1" s="235"/>
      <c r="FWC1" s="235"/>
      <c r="FWD1" s="235"/>
      <c r="FWE1" s="235"/>
      <c r="FWF1" s="235"/>
      <c r="FWG1" s="235"/>
      <c r="FWH1" s="235"/>
      <c r="FWI1" s="235"/>
      <c r="FWJ1" s="235"/>
      <c r="FWK1" s="235"/>
      <c r="FWL1" s="235"/>
      <c r="FWM1" s="235"/>
      <c r="FWN1" s="235"/>
      <c r="FWO1" s="235"/>
      <c r="FWP1" s="235"/>
      <c r="FWQ1" s="235"/>
      <c r="FWR1" s="235"/>
      <c r="FWS1" s="235"/>
      <c r="FWT1" s="235"/>
      <c r="FWU1" s="235"/>
      <c r="FWV1" s="235"/>
      <c r="FWW1" s="235"/>
      <c r="FWX1" s="235"/>
      <c r="FWY1" s="235"/>
      <c r="FWZ1" s="235"/>
      <c r="FXA1" s="235"/>
      <c r="FXB1" s="235"/>
      <c r="FXC1" s="235"/>
      <c r="FXD1" s="235"/>
      <c r="FXE1" s="235"/>
      <c r="FXF1" s="235"/>
      <c r="FXG1" s="235"/>
      <c r="FXH1" s="235"/>
      <c r="FXI1" s="235"/>
      <c r="FXJ1" s="235"/>
      <c r="FXK1" s="235"/>
      <c r="FXL1" s="235"/>
      <c r="FXM1" s="235"/>
      <c r="FXN1" s="235"/>
      <c r="FXO1" s="235"/>
      <c r="FXP1" s="235"/>
      <c r="FXQ1" s="235"/>
      <c r="FXR1" s="235"/>
      <c r="FXS1" s="235"/>
      <c r="FXT1" s="235"/>
      <c r="FXU1" s="235"/>
      <c r="FXV1" s="235"/>
      <c r="FXW1" s="235"/>
      <c r="FXX1" s="235"/>
      <c r="FXY1" s="235"/>
      <c r="FXZ1" s="235"/>
      <c r="FYA1" s="235"/>
      <c r="FYB1" s="235"/>
      <c r="FYC1" s="235"/>
      <c r="FYD1" s="235"/>
      <c r="FYE1" s="235"/>
      <c r="FYF1" s="235"/>
      <c r="FYG1" s="235"/>
      <c r="FYH1" s="235"/>
      <c r="FYI1" s="235"/>
      <c r="FYJ1" s="235"/>
      <c r="FYK1" s="235"/>
      <c r="FYL1" s="235"/>
      <c r="FYM1" s="235"/>
      <c r="FYN1" s="235"/>
      <c r="FYO1" s="235"/>
      <c r="FYP1" s="235"/>
      <c r="FYQ1" s="235"/>
      <c r="FYR1" s="235"/>
      <c r="FYS1" s="235"/>
      <c r="FYT1" s="235"/>
      <c r="FYU1" s="235"/>
      <c r="FYV1" s="235"/>
      <c r="FYW1" s="235"/>
      <c r="FYX1" s="235"/>
      <c r="FYY1" s="235"/>
      <c r="FYZ1" s="235"/>
      <c r="FZA1" s="235"/>
      <c r="FZB1" s="235"/>
      <c r="FZC1" s="235"/>
      <c r="FZD1" s="235"/>
      <c r="FZE1" s="235"/>
      <c r="FZF1" s="235"/>
      <c r="FZG1" s="235"/>
      <c r="FZH1" s="235"/>
      <c r="FZI1" s="235"/>
      <c r="FZJ1" s="235"/>
      <c r="FZK1" s="235"/>
      <c r="FZL1" s="235"/>
      <c r="FZM1" s="235"/>
      <c r="FZN1" s="235"/>
      <c r="FZO1" s="235"/>
      <c r="FZP1" s="235"/>
      <c r="FZQ1" s="235"/>
      <c r="FZR1" s="235"/>
      <c r="FZS1" s="235"/>
      <c r="FZT1" s="235"/>
      <c r="FZU1" s="235"/>
      <c r="FZV1" s="235"/>
      <c r="FZW1" s="235"/>
      <c r="FZX1" s="235"/>
      <c r="FZY1" s="235"/>
      <c r="FZZ1" s="235"/>
      <c r="GAA1" s="235"/>
      <c r="GAB1" s="235"/>
      <c r="GAC1" s="235"/>
      <c r="GAD1" s="235"/>
      <c r="GAE1" s="235"/>
      <c r="GAF1" s="235"/>
      <c r="GAG1" s="235"/>
      <c r="GAH1" s="235"/>
      <c r="GAI1" s="235"/>
      <c r="GAJ1" s="235"/>
      <c r="GAK1" s="235"/>
      <c r="GAL1" s="235"/>
      <c r="GAM1" s="235"/>
      <c r="GAN1" s="235"/>
      <c r="GAO1" s="235"/>
      <c r="GAP1" s="235"/>
      <c r="GAQ1" s="235"/>
      <c r="GAR1" s="235"/>
      <c r="GAS1" s="235"/>
      <c r="GAT1" s="235"/>
      <c r="GAU1" s="235"/>
      <c r="GAV1" s="235"/>
      <c r="GAW1" s="235"/>
      <c r="GAX1" s="235"/>
      <c r="GAY1" s="235"/>
      <c r="GAZ1" s="235"/>
      <c r="GBA1" s="235"/>
      <c r="GBB1" s="235"/>
      <c r="GBC1" s="235"/>
      <c r="GBD1" s="235"/>
      <c r="GBE1" s="235"/>
      <c r="GBF1" s="235"/>
      <c r="GBG1" s="235"/>
      <c r="GBH1" s="235"/>
      <c r="GBI1" s="235"/>
      <c r="GBJ1" s="235"/>
      <c r="GBK1" s="235"/>
      <c r="GBL1" s="235"/>
      <c r="GBM1" s="235"/>
      <c r="GBN1" s="235"/>
      <c r="GBO1" s="235"/>
      <c r="GBP1" s="235"/>
      <c r="GBQ1" s="235"/>
      <c r="GBR1" s="235"/>
      <c r="GBS1" s="235"/>
      <c r="GBT1" s="235"/>
      <c r="GBU1" s="235"/>
      <c r="GBV1" s="235"/>
      <c r="GBW1" s="235"/>
      <c r="GBX1" s="235"/>
      <c r="GBY1" s="235"/>
      <c r="GBZ1" s="235"/>
      <c r="GCA1" s="235"/>
      <c r="GCB1" s="235"/>
      <c r="GCC1" s="235"/>
      <c r="GCD1" s="235"/>
      <c r="GCE1" s="235"/>
      <c r="GCF1" s="235"/>
      <c r="GCG1" s="235"/>
      <c r="GCH1" s="235"/>
      <c r="GCI1" s="235"/>
      <c r="GCJ1" s="235"/>
      <c r="GCK1" s="235"/>
      <c r="GCL1" s="235"/>
      <c r="GCM1" s="235"/>
      <c r="GCN1" s="235"/>
      <c r="GCO1" s="235"/>
      <c r="GCP1" s="235"/>
      <c r="GCQ1" s="235"/>
      <c r="GCR1" s="235"/>
      <c r="GCS1" s="235"/>
      <c r="GCT1" s="235"/>
      <c r="GCU1" s="235"/>
      <c r="GCV1" s="235"/>
      <c r="GCW1" s="235"/>
      <c r="GCX1" s="235"/>
      <c r="GCY1" s="235"/>
      <c r="GCZ1" s="235"/>
      <c r="GDA1" s="235"/>
      <c r="GDB1" s="235"/>
      <c r="GDC1" s="235"/>
      <c r="GDD1" s="235"/>
      <c r="GDE1" s="235"/>
      <c r="GDF1" s="235"/>
      <c r="GDG1" s="235"/>
      <c r="GDH1" s="235"/>
      <c r="GDI1" s="235"/>
      <c r="GDJ1" s="235"/>
      <c r="GDK1" s="235"/>
      <c r="GDL1" s="235"/>
      <c r="GDM1" s="235"/>
      <c r="GDN1" s="235"/>
      <c r="GDO1" s="235"/>
      <c r="GDP1" s="235"/>
      <c r="GDQ1" s="235"/>
      <c r="GDR1" s="235"/>
      <c r="GDS1" s="235"/>
      <c r="GDT1" s="235"/>
      <c r="GDU1" s="235"/>
      <c r="GDV1" s="235"/>
      <c r="GDW1" s="235"/>
      <c r="GDX1" s="235"/>
      <c r="GDY1" s="235"/>
      <c r="GDZ1" s="235"/>
      <c r="GEA1" s="235"/>
      <c r="GEB1" s="235"/>
      <c r="GEC1" s="235"/>
      <c r="GED1" s="235"/>
      <c r="GEE1" s="235"/>
      <c r="GEF1" s="235"/>
      <c r="GEG1" s="235"/>
      <c r="GEH1" s="235"/>
      <c r="GEI1" s="235"/>
      <c r="GEJ1" s="235"/>
      <c r="GEK1" s="235"/>
      <c r="GEL1" s="235"/>
      <c r="GEM1" s="235"/>
      <c r="GEN1" s="235"/>
      <c r="GEO1" s="235"/>
      <c r="GEP1" s="235"/>
      <c r="GEQ1" s="235"/>
      <c r="GER1" s="235"/>
      <c r="GES1" s="235"/>
      <c r="GET1" s="235"/>
      <c r="GEU1" s="235"/>
      <c r="GEV1" s="235"/>
      <c r="GEW1" s="235"/>
      <c r="GEX1" s="235"/>
      <c r="GEY1" s="235"/>
      <c r="GEZ1" s="235"/>
      <c r="GFA1" s="235"/>
      <c r="GFB1" s="235"/>
      <c r="GFC1" s="235"/>
      <c r="GFD1" s="235"/>
      <c r="GFE1" s="235"/>
      <c r="GFF1" s="235"/>
      <c r="GFG1" s="235"/>
      <c r="GFH1" s="235"/>
      <c r="GFI1" s="235"/>
      <c r="GFJ1" s="235"/>
      <c r="GFK1" s="235"/>
      <c r="GFL1" s="235"/>
      <c r="GFM1" s="235"/>
      <c r="GFN1" s="235"/>
      <c r="GFO1" s="235"/>
      <c r="GFP1" s="235"/>
      <c r="GFQ1" s="235"/>
      <c r="GFR1" s="235"/>
      <c r="GFS1" s="235"/>
      <c r="GFT1" s="235"/>
      <c r="GFU1" s="235"/>
      <c r="GFV1" s="235"/>
      <c r="GFW1" s="235"/>
      <c r="GFX1" s="235"/>
      <c r="GFY1" s="235"/>
      <c r="GFZ1" s="235"/>
      <c r="GGA1" s="235"/>
      <c r="GGB1" s="235"/>
      <c r="GGC1" s="235"/>
      <c r="GGD1" s="235"/>
      <c r="GGE1" s="235"/>
      <c r="GGF1" s="235"/>
      <c r="GGG1" s="235"/>
      <c r="GGH1" s="235"/>
      <c r="GGI1" s="235"/>
      <c r="GGJ1" s="235"/>
      <c r="GGK1" s="235"/>
      <c r="GGL1" s="235"/>
      <c r="GGM1" s="235"/>
      <c r="GGN1" s="235"/>
      <c r="GGO1" s="235"/>
      <c r="GGP1" s="235"/>
      <c r="GGQ1" s="235"/>
      <c r="GGR1" s="235"/>
      <c r="GGS1" s="235"/>
      <c r="GGT1" s="235"/>
      <c r="GGU1" s="235"/>
      <c r="GGV1" s="235"/>
      <c r="GGW1" s="235"/>
      <c r="GGX1" s="235"/>
      <c r="GGY1" s="235"/>
      <c r="GGZ1" s="235"/>
      <c r="GHA1" s="235"/>
      <c r="GHB1" s="235"/>
      <c r="GHC1" s="235"/>
      <c r="GHD1" s="235"/>
      <c r="GHE1" s="235"/>
      <c r="GHF1" s="235"/>
      <c r="GHG1" s="235"/>
      <c r="GHH1" s="235"/>
      <c r="GHI1" s="235"/>
      <c r="GHJ1" s="235"/>
      <c r="GHK1" s="235"/>
      <c r="GHL1" s="235"/>
      <c r="GHM1" s="235"/>
      <c r="GHN1" s="235"/>
      <c r="GHO1" s="235"/>
      <c r="GHP1" s="235"/>
      <c r="GHQ1" s="235"/>
      <c r="GHR1" s="235"/>
      <c r="GHS1" s="235"/>
      <c r="GHT1" s="235"/>
      <c r="GHU1" s="235"/>
      <c r="GHV1" s="235"/>
      <c r="GHW1" s="235"/>
      <c r="GHX1" s="235"/>
      <c r="GHY1" s="235"/>
      <c r="GHZ1" s="235"/>
      <c r="GIA1" s="235"/>
      <c r="GIB1" s="235"/>
      <c r="GIC1" s="235"/>
      <c r="GID1" s="235"/>
      <c r="GIE1" s="235"/>
      <c r="GIF1" s="235"/>
      <c r="GIG1" s="235"/>
      <c r="GIH1" s="235"/>
      <c r="GII1" s="235"/>
      <c r="GIJ1" s="235"/>
      <c r="GIK1" s="235"/>
      <c r="GIL1" s="235"/>
      <c r="GIM1" s="235"/>
      <c r="GIN1" s="235"/>
      <c r="GIO1" s="235"/>
      <c r="GIP1" s="235"/>
      <c r="GIQ1" s="235"/>
      <c r="GIR1" s="235"/>
      <c r="GIS1" s="235"/>
      <c r="GIT1" s="235"/>
      <c r="GIU1" s="235"/>
      <c r="GIV1" s="235"/>
      <c r="GIW1" s="235"/>
      <c r="GIX1" s="235"/>
      <c r="GIY1" s="235"/>
      <c r="GIZ1" s="235"/>
      <c r="GJA1" s="235"/>
      <c r="GJB1" s="235"/>
      <c r="GJC1" s="235"/>
      <c r="GJD1" s="235"/>
      <c r="GJE1" s="235"/>
      <c r="GJF1" s="235"/>
      <c r="GJG1" s="235"/>
      <c r="GJH1" s="235"/>
      <c r="GJI1" s="235"/>
      <c r="GJJ1" s="235"/>
      <c r="GJK1" s="235"/>
      <c r="GJL1" s="235"/>
      <c r="GJM1" s="235"/>
      <c r="GJN1" s="235"/>
      <c r="GJO1" s="235"/>
      <c r="GJP1" s="235"/>
      <c r="GJQ1" s="235"/>
      <c r="GJR1" s="235"/>
      <c r="GJS1" s="235"/>
      <c r="GJT1" s="235"/>
      <c r="GJU1" s="235"/>
      <c r="GJV1" s="235"/>
      <c r="GJW1" s="235"/>
      <c r="GJX1" s="235"/>
      <c r="GJY1" s="235"/>
      <c r="GJZ1" s="235"/>
      <c r="GKA1" s="235"/>
      <c r="GKB1" s="235"/>
      <c r="GKC1" s="235"/>
      <c r="GKD1" s="235"/>
      <c r="GKE1" s="235"/>
      <c r="GKF1" s="235"/>
      <c r="GKG1" s="235"/>
      <c r="GKH1" s="235"/>
      <c r="GKI1" s="235"/>
      <c r="GKJ1" s="235"/>
      <c r="GKK1" s="235"/>
      <c r="GKL1" s="235"/>
      <c r="GKM1" s="235"/>
      <c r="GKN1" s="235"/>
      <c r="GKO1" s="235"/>
      <c r="GKP1" s="235"/>
      <c r="GKQ1" s="235"/>
      <c r="GKR1" s="235"/>
      <c r="GKS1" s="235"/>
      <c r="GKT1" s="235"/>
      <c r="GKU1" s="235"/>
      <c r="GKV1" s="235"/>
      <c r="GKW1" s="235"/>
      <c r="GKX1" s="235"/>
      <c r="GKY1" s="235"/>
      <c r="GKZ1" s="235"/>
      <c r="GLA1" s="235"/>
      <c r="GLB1" s="235"/>
      <c r="GLC1" s="235"/>
      <c r="GLD1" s="235"/>
      <c r="GLE1" s="235"/>
      <c r="GLF1" s="235"/>
      <c r="GLG1" s="235"/>
      <c r="GLH1" s="235"/>
      <c r="GLI1" s="235"/>
      <c r="GLJ1" s="235"/>
      <c r="GLK1" s="235"/>
      <c r="GLL1" s="235"/>
      <c r="GLM1" s="235"/>
      <c r="GLN1" s="235"/>
      <c r="GLO1" s="235"/>
      <c r="GLP1" s="235"/>
      <c r="GLQ1" s="235"/>
      <c r="GLR1" s="235"/>
      <c r="GLS1" s="235"/>
      <c r="GLT1" s="235"/>
      <c r="GLU1" s="235"/>
      <c r="GLV1" s="235"/>
      <c r="GLW1" s="235"/>
      <c r="GLX1" s="235"/>
      <c r="GLY1" s="235"/>
      <c r="GLZ1" s="235"/>
      <c r="GMA1" s="235"/>
      <c r="GMB1" s="235"/>
      <c r="GMC1" s="235"/>
      <c r="GMD1" s="235"/>
      <c r="GME1" s="235"/>
      <c r="GMF1" s="235"/>
      <c r="GMG1" s="235"/>
      <c r="GMH1" s="235"/>
      <c r="GMI1" s="235"/>
      <c r="GMJ1" s="235"/>
      <c r="GMK1" s="235"/>
      <c r="GML1" s="235"/>
      <c r="GMM1" s="235"/>
      <c r="GMN1" s="235"/>
      <c r="GMO1" s="235"/>
      <c r="GMP1" s="235"/>
      <c r="GMQ1" s="235"/>
      <c r="GMR1" s="235"/>
      <c r="GMS1" s="235"/>
      <c r="GMT1" s="235"/>
      <c r="GMU1" s="235"/>
      <c r="GMV1" s="235"/>
      <c r="GMW1" s="235"/>
      <c r="GMX1" s="235"/>
      <c r="GMY1" s="235"/>
      <c r="GMZ1" s="235"/>
      <c r="GNA1" s="235"/>
      <c r="GNB1" s="235"/>
      <c r="GNC1" s="235"/>
      <c r="GND1" s="235"/>
      <c r="GNE1" s="235"/>
      <c r="GNF1" s="235"/>
      <c r="GNG1" s="235"/>
      <c r="GNH1" s="235"/>
      <c r="GNI1" s="235"/>
      <c r="GNJ1" s="235"/>
      <c r="GNK1" s="235"/>
      <c r="GNL1" s="235"/>
      <c r="GNM1" s="235"/>
      <c r="GNN1" s="235"/>
      <c r="GNO1" s="235"/>
      <c r="GNP1" s="235"/>
      <c r="GNQ1" s="235"/>
      <c r="GNR1" s="235"/>
      <c r="GNS1" s="235"/>
      <c r="GNT1" s="235"/>
      <c r="GNU1" s="235"/>
      <c r="GNV1" s="235"/>
      <c r="GNW1" s="235"/>
      <c r="GNX1" s="235"/>
      <c r="GNY1" s="235"/>
      <c r="GNZ1" s="235"/>
      <c r="GOA1" s="235"/>
      <c r="GOB1" s="235"/>
      <c r="GOC1" s="235"/>
      <c r="GOD1" s="235"/>
      <c r="GOE1" s="235"/>
      <c r="GOF1" s="235"/>
      <c r="GOG1" s="235"/>
      <c r="GOH1" s="235"/>
      <c r="GOI1" s="235"/>
      <c r="GOJ1" s="235"/>
      <c r="GOK1" s="235"/>
      <c r="GOL1" s="235"/>
      <c r="GOM1" s="235"/>
      <c r="GON1" s="235"/>
      <c r="GOO1" s="235"/>
      <c r="GOP1" s="235"/>
      <c r="GOQ1" s="235"/>
      <c r="GOR1" s="235"/>
      <c r="GOS1" s="235"/>
      <c r="GOT1" s="235"/>
      <c r="GOU1" s="235"/>
      <c r="GOV1" s="235"/>
      <c r="GOW1" s="235"/>
      <c r="GOX1" s="235"/>
      <c r="GOY1" s="235"/>
      <c r="GOZ1" s="235"/>
      <c r="GPA1" s="235"/>
      <c r="GPB1" s="235"/>
      <c r="GPC1" s="235"/>
      <c r="GPD1" s="235"/>
      <c r="GPE1" s="235"/>
      <c r="GPF1" s="235"/>
      <c r="GPG1" s="235"/>
      <c r="GPH1" s="235"/>
      <c r="GPI1" s="235"/>
      <c r="GPJ1" s="235"/>
      <c r="GPK1" s="235"/>
      <c r="GPL1" s="235"/>
      <c r="GPM1" s="235"/>
      <c r="GPN1" s="235"/>
      <c r="GPO1" s="235"/>
      <c r="GPP1" s="235"/>
      <c r="GPQ1" s="235"/>
      <c r="GPR1" s="235"/>
      <c r="GPS1" s="235"/>
      <c r="GPT1" s="235"/>
      <c r="GPU1" s="235"/>
      <c r="GPV1" s="235"/>
      <c r="GPW1" s="235"/>
      <c r="GPX1" s="235"/>
      <c r="GPY1" s="235"/>
      <c r="GPZ1" s="235"/>
      <c r="GQA1" s="235"/>
      <c r="GQB1" s="235"/>
      <c r="GQC1" s="235"/>
      <c r="GQD1" s="235"/>
      <c r="GQE1" s="235"/>
      <c r="GQF1" s="235"/>
      <c r="GQG1" s="235"/>
      <c r="GQH1" s="235"/>
      <c r="GQI1" s="235"/>
      <c r="GQJ1" s="235"/>
      <c r="GQK1" s="235"/>
      <c r="GQL1" s="235"/>
      <c r="GQM1" s="235"/>
      <c r="GQN1" s="235"/>
      <c r="GQO1" s="235"/>
      <c r="GQP1" s="235"/>
      <c r="GQQ1" s="235"/>
      <c r="GQR1" s="235"/>
      <c r="GQS1" s="235"/>
      <c r="GQT1" s="235"/>
      <c r="GQU1" s="235"/>
      <c r="GQV1" s="235"/>
      <c r="GQW1" s="235"/>
      <c r="GQX1" s="235"/>
      <c r="GQY1" s="235"/>
      <c r="GQZ1" s="235"/>
      <c r="GRA1" s="235"/>
      <c r="GRB1" s="235"/>
      <c r="GRC1" s="235"/>
      <c r="GRD1" s="235"/>
      <c r="GRE1" s="235"/>
      <c r="GRF1" s="235"/>
      <c r="GRG1" s="235"/>
      <c r="GRH1" s="235"/>
      <c r="GRI1" s="235"/>
      <c r="GRJ1" s="235"/>
      <c r="GRK1" s="235"/>
      <c r="GRL1" s="235"/>
      <c r="GRM1" s="235"/>
      <c r="GRN1" s="235"/>
      <c r="GRO1" s="235"/>
      <c r="GRP1" s="235"/>
      <c r="GRQ1" s="235"/>
      <c r="GRR1" s="235"/>
      <c r="GRS1" s="235"/>
      <c r="GRT1" s="235"/>
      <c r="GRU1" s="235"/>
      <c r="GRV1" s="235"/>
      <c r="GRW1" s="235"/>
      <c r="GRX1" s="235"/>
      <c r="GRY1" s="235"/>
      <c r="GRZ1" s="235"/>
      <c r="GSA1" s="235"/>
      <c r="GSB1" s="235"/>
      <c r="GSC1" s="235"/>
      <c r="GSD1" s="235"/>
      <c r="GSE1" s="235"/>
      <c r="GSF1" s="235"/>
      <c r="GSG1" s="235"/>
      <c r="GSH1" s="235"/>
      <c r="GSI1" s="235"/>
      <c r="GSJ1" s="235"/>
      <c r="GSK1" s="235"/>
      <c r="GSL1" s="235"/>
      <c r="GSM1" s="235"/>
      <c r="GSN1" s="235"/>
      <c r="GSO1" s="235"/>
      <c r="GSP1" s="235"/>
      <c r="GSQ1" s="235"/>
      <c r="GSR1" s="235"/>
      <c r="GSS1" s="235"/>
      <c r="GST1" s="235"/>
      <c r="GSU1" s="235"/>
      <c r="GSV1" s="235"/>
      <c r="GSW1" s="235"/>
      <c r="GSX1" s="235"/>
      <c r="GSY1" s="235"/>
      <c r="GSZ1" s="235"/>
      <c r="GTA1" s="235"/>
      <c r="GTB1" s="235"/>
      <c r="GTC1" s="235"/>
      <c r="GTD1" s="235"/>
      <c r="GTE1" s="235"/>
      <c r="GTF1" s="235"/>
      <c r="GTG1" s="235"/>
      <c r="GTH1" s="235"/>
      <c r="GTI1" s="235"/>
      <c r="GTJ1" s="235"/>
      <c r="GTK1" s="235"/>
      <c r="GTL1" s="235"/>
      <c r="GTM1" s="235"/>
      <c r="GTN1" s="235"/>
      <c r="GTO1" s="235"/>
      <c r="GTP1" s="235"/>
      <c r="GTQ1" s="235"/>
      <c r="GTR1" s="235"/>
      <c r="GTS1" s="235"/>
      <c r="GTT1" s="235"/>
      <c r="GTU1" s="235"/>
      <c r="GTV1" s="235"/>
      <c r="GTW1" s="235"/>
      <c r="GTX1" s="235"/>
      <c r="GTY1" s="235"/>
      <c r="GTZ1" s="235"/>
      <c r="GUA1" s="235"/>
      <c r="GUB1" s="235"/>
      <c r="GUC1" s="235"/>
      <c r="GUD1" s="235"/>
      <c r="GUE1" s="235"/>
      <c r="GUF1" s="235"/>
      <c r="GUG1" s="235"/>
      <c r="GUH1" s="235"/>
      <c r="GUI1" s="235"/>
      <c r="GUJ1" s="235"/>
      <c r="GUK1" s="235"/>
      <c r="GUL1" s="235"/>
      <c r="GUM1" s="235"/>
      <c r="GUN1" s="235"/>
      <c r="GUO1" s="235"/>
      <c r="GUP1" s="235"/>
      <c r="GUQ1" s="235"/>
      <c r="GUR1" s="235"/>
      <c r="GUS1" s="235"/>
      <c r="GUT1" s="235"/>
      <c r="GUU1" s="235"/>
      <c r="GUV1" s="235"/>
      <c r="GUW1" s="235"/>
      <c r="GUX1" s="235"/>
      <c r="GUY1" s="235"/>
      <c r="GUZ1" s="235"/>
      <c r="GVA1" s="235"/>
      <c r="GVB1" s="235"/>
      <c r="GVC1" s="235"/>
      <c r="GVD1" s="235"/>
      <c r="GVE1" s="235"/>
      <c r="GVF1" s="235"/>
      <c r="GVG1" s="235"/>
      <c r="GVH1" s="235"/>
      <c r="GVI1" s="235"/>
      <c r="GVJ1" s="235"/>
      <c r="GVK1" s="235"/>
      <c r="GVL1" s="235"/>
      <c r="GVM1" s="235"/>
      <c r="GVN1" s="235"/>
      <c r="GVO1" s="235"/>
      <c r="GVP1" s="235"/>
      <c r="GVQ1" s="235"/>
      <c r="GVR1" s="235"/>
      <c r="GVS1" s="235"/>
      <c r="GVT1" s="235"/>
      <c r="GVU1" s="235"/>
      <c r="GVV1" s="235"/>
      <c r="GVW1" s="235"/>
      <c r="GVX1" s="235"/>
      <c r="GVY1" s="235"/>
      <c r="GVZ1" s="235"/>
      <c r="GWA1" s="235"/>
      <c r="GWB1" s="235"/>
      <c r="GWC1" s="235"/>
      <c r="GWD1" s="235"/>
      <c r="GWE1" s="235"/>
      <c r="GWF1" s="235"/>
      <c r="GWG1" s="235"/>
      <c r="GWH1" s="235"/>
      <c r="GWI1" s="235"/>
      <c r="GWJ1" s="235"/>
      <c r="GWK1" s="235"/>
      <c r="GWL1" s="235"/>
      <c r="GWM1" s="235"/>
      <c r="GWN1" s="235"/>
      <c r="GWO1" s="235"/>
      <c r="GWP1" s="235"/>
      <c r="GWQ1" s="235"/>
      <c r="GWR1" s="235"/>
      <c r="GWS1" s="235"/>
      <c r="GWT1" s="235"/>
      <c r="GWU1" s="235"/>
      <c r="GWV1" s="235"/>
      <c r="GWW1" s="235"/>
      <c r="GWX1" s="235"/>
      <c r="GWY1" s="235"/>
      <c r="GWZ1" s="235"/>
      <c r="GXA1" s="235"/>
      <c r="GXB1" s="235"/>
      <c r="GXC1" s="235"/>
      <c r="GXD1" s="235"/>
      <c r="GXE1" s="235"/>
      <c r="GXF1" s="235"/>
      <c r="GXG1" s="235"/>
      <c r="GXH1" s="235"/>
      <c r="GXI1" s="235"/>
      <c r="GXJ1" s="235"/>
      <c r="GXK1" s="235"/>
      <c r="GXL1" s="235"/>
      <c r="GXM1" s="235"/>
      <c r="GXN1" s="235"/>
      <c r="GXO1" s="235"/>
      <c r="GXP1" s="235"/>
      <c r="GXQ1" s="235"/>
      <c r="GXR1" s="235"/>
      <c r="GXS1" s="235"/>
      <c r="GXT1" s="235"/>
      <c r="GXU1" s="235"/>
      <c r="GXV1" s="235"/>
      <c r="GXW1" s="235"/>
      <c r="GXX1" s="235"/>
      <c r="GXY1" s="235"/>
      <c r="GXZ1" s="235"/>
      <c r="GYA1" s="235"/>
      <c r="GYB1" s="235"/>
      <c r="GYC1" s="235"/>
      <c r="GYD1" s="235"/>
      <c r="GYE1" s="235"/>
      <c r="GYF1" s="235"/>
      <c r="GYG1" s="235"/>
      <c r="GYH1" s="235"/>
      <c r="GYI1" s="235"/>
      <c r="GYJ1" s="235"/>
      <c r="GYK1" s="235"/>
      <c r="GYL1" s="235"/>
      <c r="GYM1" s="235"/>
      <c r="GYN1" s="235"/>
      <c r="GYO1" s="235"/>
      <c r="GYP1" s="235"/>
      <c r="GYQ1" s="235"/>
      <c r="GYR1" s="235"/>
      <c r="GYS1" s="235"/>
      <c r="GYT1" s="235"/>
      <c r="GYU1" s="235"/>
      <c r="GYV1" s="235"/>
      <c r="GYW1" s="235"/>
      <c r="GYX1" s="235"/>
      <c r="GYY1" s="235"/>
      <c r="GYZ1" s="235"/>
      <c r="GZA1" s="235"/>
      <c r="GZB1" s="235"/>
      <c r="GZC1" s="235"/>
      <c r="GZD1" s="235"/>
      <c r="GZE1" s="235"/>
      <c r="GZF1" s="235"/>
      <c r="GZG1" s="235"/>
      <c r="GZH1" s="235"/>
      <c r="GZI1" s="235"/>
      <c r="GZJ1" s="235"/>
      <c r="GZK1" s="235"/>
      <c r="GZL1" s="235"/>
      <c r="GZM1" s="235"/>
      <c r="GZN1" s="235"/>
      <c r="GZO1" s="235"/>
      <c r="GZP1" s="235"/>
      <c r="GZQ1" s="235"/>
      <c r="GZR1" s="235"/>
      <c r="GZS1" s="235"/>
      <c r="GZT1" s="235"/>
      <c r="GZU1" s="235"/>
      <c r="GZV1" s="235"/>
      <c r="GZW1" s="235"/>
      <c r="GZX1" s="235"/>
      <c r="GZY1" s="235"/>
      <c r="GZZ1" s="235"/>
      <c r="HAA1" s="235"/>
      <c r="HAB1" s="235"/>
      <c r="HAC1" s="235"/>
      <c r="HAD1" s="235"/>
      <c r="HAE1" s="235"/>
      <c r="HAF1" s="235"/>
      <c r="HAG1" s="235"/>
      <c r="HAH1" s="235"/>
      <c r="HAI1" s="235"/>
      <c r="HAJ1" s="235"/>
      <c r="HAK1" s="235"/>
      <c r="HAL1" s="235"/>
      <c r="HAM1" s="235"/>
      <c r="HAN1" s="235"/>
      <c r="HAO1" s="235"/>
      <c r="HAP1" s="235"/>
      <c r="HAQ1" s="235"/>
      <c r="HAR1" s="235"/>
      <c r="HAS1" s="235"/>
      <c r="HAT1" s="235"/>
      <c r="HAU1" s="235"/>
      <c r="HAV1" s="235"/>
      <c r="HAW1" s="235"/>
      <c r="HAX1" s="235"/>
      <c r="HAY1" s="235"/>
      <c r="HAZ1" s="235"/>
      <c r="HBA1" s="235"/>
      <c r="HBB1" s="235"/>
      <c r="HBC1" s="235"/>
      <c r="HBD1" s="235"/>
      <c r="HBE1" s="235"/>
      <c r="HBF1" s="235"/>
      <c r="HBG1" s="235"/>
      <c r="HBH1" s="235"/>
      <c r="HBI1" s="235"/>
      <c r="HBJ1" s="235"/>
      <c r="HBK1" s="235"/>
      <c r="HBL1" s="235"/>
      <c r="HBM1" s="235"/>
      <c r="HBN1" s="235"/>
      <c r="HBO1" s="235"/>
      <c r="HBP1" s="235"/>
      <c r="HBQ1" s="235"/>
      <c r="HBR1" s="235"/>
      <c r="HBS1" s="235"/>
      <c r="HBT1" s="235"/>
      <c r="HBU1" s="235"/>
      <c r="HBV1" s="235"/>
      <c r="HBW1" s="235"/>
      <c r="HBX1" s="235"/>
      <c r="HBY1" s="235"/>
      <c r="HBZ1" s="235"/>
      <c r="HCA1" s="235"/>
      <c r="HCB1" s="235"/>
      <c r="HCC1" s="235"/>
      <c r="HCD1" s="235"/>
      <c r="HCE1" s="235"/>
      <c r="HCF1" s="235"/>
      <c r="HCG1" s="235"/>
      <c r="HCH1" s="235"/>
      <c r="HCI1" s="235"/>
      <c r="HCJ1" s="235"/>
      <c r="HCK1" s="235"/>
      <c r="HCL1" s="235"/>
      <c r="HCM1" s="235"/>
      <c r="HCN1" s="235"/>
      <c r="HCO1" s="235"/>
      <c r="HCP1" s="235"/>
      <c r="HCQ1" s="235"/>
      <c r="HCR1" s="235"/>
      <c r="HCS1" s="235"/>
      <c r="HCT1" s="235"/>
      <c r="HCU1" s="235"/>
      <c r="HCV1" s="235"/>
      <c r="HCW1" s="235"/>
      <c r="HCX1" s="235"/>
      <c r="HCY1" s="235"/>
      <c r="HCZ1" s="235"/>
      <c r="HDA1" s="235"/>
      <c r="HDB1" s="235"/>
      <c r="HDC1" s="235"/>
      <c r="HDD1" s="235"/>
      <c r="HDE1" s="235"/>
      <c r="HDF1" s="235"/>
      <c r="HDG1" s="235"/>
      <c r="HDH1" s="235"/>
      <c r="HDI1" s="235"/>
      <c r="HDJ1" s="235"/>
      <c r="HDK1" s="235"/>
      <c r="HDL1" s="235"/>
      <c r="HDM1" s="235"/>
      <c r="HDN1" s="235"/>
      <c r="HDO1" s="235"/>
      <c r="HDP1" s="235"/>
      <c r="HDQ1" s="235"/>
      <c r="HDR1" s="235"/>
      <c r="HDS1" s="235"/>
      <c r="HDT1" s="235"/>
      <c r="HDU1" s="235"/>
      <c r="HDV1" s="235"/>
      <c r="HDW1" s="235"/>
      <c r="HDX1" s="235"/>
      <c r="HDY1" s="235"/>
      <c r="HDZ1" s="235"/>
      <c r="HEA1" s="235"/>
      <c r="HEB1" s="235"/>
      <c r="HEC1" s="235"/>
      <c r="HED1" s="235"/>
      <c r="HEE1" s="235"/>
      <c r="HEF1" s="235"/>
      <c r="HEG1" s="235"/>
      <c r="HEH1" s="235"/>
      <c r="HEI1" s="235"/>
      <c r="HEJ1" s="235"/>
      <c r="HEK1" s="235"/>
      <c r="HEL1" s="235"/>
      <c r="HEM1" s="235"/>
      <c r="HEN1" s="235"/>
      <c r="HEO1" s="235"/>
      <c r="HEP1" s="235"/>
      <c r="HEQ1" s="235"/>
      <c r="HER1" s="235"/>
      <c r="HES1" s="235"/>
      <c r="HET1" s="235"/>
      <c r="HEU1" s="235"/>
      <c r="HEV1" s="235"/>
      <c r="HEW1" s="235"/>
      <c r="HEX1" s="235"/>
      <c r="HEY1" s="235"/>
      <c r="HEZ1" s="235"/>
      <c r="HFA1" s="235"/>
      <c r="HFB1" s="235"/>
      <c r="HFC1" s="235"/>
      <c r="HFD1" s="235"/>
      <c r="HFE1" s="235"/>
      <c r="HFF1" s="235"/>
      <c r="HFG1" s="235"/>
      <c r="HFH1" s="235"/>
      <c r="HFI1" s="235"/>
      <c r="HFJ1" s="235"/>
      <c r="HFK1" s="235"/>
      <c r="HFL1" s="235"/>
      <c r="HFM1" s="235"/>
      <c r="HFN1" s="235"/>
      <c r="HFO1" s="235"/>
      <c r="HFP1" s="235"/>
      <c r="HFQ1" s="235"/>
      <c r="HFR1" s="235"/>
      <c r="HFS1" s="235"/>
      <c r="HFT1" s="235"/>
      <c r="HFU1" s="235"/>
      <c r="HFV1" s="235"/>
      <c r="HFW1" s="235"/>
      <c r="HFX1" s="235"/>
      <c r="HFY1" s="235"/>
      <c r="HFZ1" s="235"/>
      <c r="HGA1" s="235"/>
      <c r="HGB1" s="235"/>
      <c r="HGC1" s="235"/>
      <c r="HGD1" s="235"/>
      <c r="HGE1" s="235"/>
      <c r="HGF1" s="235"/>
      <c r="HGG1" s="235"/>
      <c r="HGH1" s="235"/>
      <c r="HGI1" s="235"/>
      <c r="HGJ1" s="235"/>
      <c r="HGK1" s="235"/>
      <c r="HGL1" s="235"/>
      <c r="HGM1" s="235"/>
      <c r="HGN1" s="235"/>
      <c r="HGO1" s="235"/>
      <c r="HGP1" s="235"/>
      <c r="HGQ1" s="235"/>
      <c r="HGR1" s="235"/>
      <c r="HGS1" s="235"/>
      <c r="HGT1" s="235"/>
      <c r="HGU1" s="235"/>
      <c r="HGV1" s="235"/>
      <c r="HGW1" s="235"/>
      <c r="HGX1" s="235"/>
      <c r="HGY1" s="235"/>
      <c r="HGZ1" s="235"/>
      <c r="HHA1" s="235"/>
      <c r="HHB1" s="235"/>
      <c r="HHC1" s="235"/>
      <c r="HHD1" s="235"/>
      <c r="HHE1" s="235"/>
      <c r="HHF1" s="235"/>
      <c r="HHG1" s="235"/>
      <c r="HHH1" s="235"/>
      <c r="HHI1" s="235"/>
      <c r="HHJ1" s="235"/>
      <c r="HHK1" s="235"/>
      <c r="HHL1" s="235"/>
      <c r="HHM1" s="235"/>
      <c r="HHN1" s="235"/>
      <c r="HHO1" s="235"/>
      <c r="HHP1" s="235"/>
      <c r="HHQ1" s="235"/>
      <c r="HHR1" s="235"/>
      <c r="HHS1" s="235"/>
      <c r="HHT1" s="235"/>
      <c r="HHU1" s="235"/>
      <c r="HHV1" s="235"/>
      <c r="HHW1" s="235"/>
      <c r="HHX1" s="235"/>
      <c r="HHY1" s="235"/>
      <c r="HHZ1" s="235"/>
      <c r="HIA1" s="235"/>
      <c r="HIB1" s="235"/>
      <c r="HIC1" s="235"/>
      <c r="HID1" s="235"/>
      <c r="HIE1" s="235"/>
      <c r="HIF1" s="235"/>
      <c r="HIG1" s="235"/>
      <c r="HIH1" s="235"/>
      <c r="HII1" s="235"/>
      <c r="HIJ1" s="235"/>
      <c r="HIK1" s="235"/>
      <c r="HIL1" s="235"/>
      <c r="HIM1" s="235"/>
      <c r="HIN1" s="235"/>
      <c r="HIO1" s="235"/>
      <c r="HIP1" s="235"/>
      <c r="HIQ1" s="235"/>
      <c r="HIR1" s="235"/>
      <c r="HIS1" s="235"/>
      <c r="HIT1" s="235"/>
      <c r="HIU1" s="235"/>
      <c r="HIV1" s="235"/>
      <c r="HIW1" s="235"/>
      <c r="HIX1" s="235"/>
      <c r="HIY1" s="235"/>
      <c r="HIZ1" s="235"/>
      <c r="HJA1" s="235"/>
      <c r="HJB1" s="235"/>
      <c r="HJC1" s="235"/>
      <c r="HJD1" s="235"/>
      <c r="HJE1" s="235"/>
      <c r="HJF1" s="235"/>
      <c r="HJG1" s="235"/>
      <c r="HJH1" s="235"/>
      <c r="HJI1" s="235"/>
      <c r="HJJ1" s="235"/>
      <c r="HJK1" s="235"/>
      <c r="HJL1" s="235"/>
      <c r="HJM1" s="235"/>
      <c r="HJN1" s="235"/>
      <c r="HJO1" s="235"/>
      <c r="HJP1" s="235"/>
      <c r="HJQ1" s="235"/>
      <c r="HJR1" s="235"/>
      <c r="HJS1" s="235"/>
      <c r="HJT1" s="235"/>
      <c r="HJU1" s="235"/>
      <c r="HJV1" s="235"/>
      <c r="HJW1" s="235"/>
      <c r="HJX1" s="235"/>
      <c r="HJY1" s="235"/>
      <c r="HJZ1" s="235"/>
      <c r="HKA1" s="235"/>
      <c r="HKB1" s="235"/>
      <c r="HKC1" s="235"/>
      <c r="HKD1" s="235"/>
      <c r="HKE1" s="235"/>
      <c r="HKF1" s="235"/>
      <c r="HKG1" s="235"/>
      <c r="HKH1" s="235"/>
      <c r="HKI1" s="235"/>
      <c r="HKJ1" s="235"/>
      <c r="HKK1" s="235"/>
      <c r="HKL1" s="235"/>
      <c r="HKM1" s="235"/>
      <c r="HKN1" s="235"/>
      <c r="HKO1" s="235"/>
      <c r="HKP1" s="235"/>
      <c r="HKQ1" s="235"/>
      <c r="HKR1" s="235"/>
      <c r="HKS1" s="235"/>
      <c r="HKT1" s="235"/>
      <c r="HKU1" s="235"/>
      <c r="HKV1" s="235"/>
      <c r="HKW1" s="235"/>
      <c r="HKX1" s="235"/>
      <c r="HKY1" s="235"/>
      <c r="HKZ1" s="235"/>
      <c r="HLA1" s="235"/>
      <c r="HLB1" s="235"/>
      <c r="HLC1" s="235"/>
      <c r="HLD1" s="235"/>
      <c r="HLE1" s="235"/>
      <c r="HLF1" s="235"/>
      <c r="HLG1" s="235"/>
      <c r="HLH1" s="235"/>
      <c r="HLI1" s="235"/>
      <c r="HLJ1" s="235"/>
      <c r="HLK1" s="235"/>
      <c r="HLL1" s="235"/>
      <c r="HLM1" s="235"/>
      <c r="HLN1" s="235"/>
      <c r="HLO1" s="235"/>
      <c r="HLP1" s="235"/>
      <c r="HLQ1" s="235"/>
      <c r="HLR1" s="235"/>
      <c r="HLS1" s="235"/>
      <c r="HLT1" s="235"/>
      <c r="HLU1" s="235"/>
      <c r="HLV1" s="235"/>
      <c r="HLW1" s="235"/>
      <c r="HLX1" s="235"/>
      <c r="HLY1" s="235"/>
      <c r="HLZ1" s="235"/>
      <c r="HMA1" s="235"/>
      <c r="HMB1" s="235"/>
      <c r="HMC1" s="235"/>
      <c r="HMD1" s="235"/>
      <c r="HME1" s="235"/>
      <c r="HMF1" s="235"/>
      <c r="HMG1" s="235"/>
      <c r="HMH1" s="235"/>
      <c r="HMI1" s="235"/>
      <c r="HMJ1" s="235"/>
      <c r="HMK1" s="235"/>
      <c r="HML1" s="235"/>
      <c r="HMM1" s="235"/>
      <c r="HMN1" s="235"/>
      <c r="HMO1" s="235"/>
      <c r="HMP1" s="235"/>
      <c r="HMQ1" s="235"/>
      <c r="HMR1" s="235"/>
      <c r="HMS1" s="235"/>
      <c r="HMT1" s="235"/>
      <c r="HMU1" s="235"/>
      <c r="HMV1" s="235"/>
      <c r="HMW1" s="235"/>
      <c r="HMX1" s="235"/>
      <c r="HMY1" s="235"/>
      <c r="HMZ1" s="235"/>
      <c r="HNA1" s="235"/>
      <c r="HNB1" s="235"/>
      <c r="HNC1" s="235"/>
      <c r="HND1" s="235"/>
      <c r="HNE1" s="235"/>
      <c r="HNF1" s="235"/>
      <c r="HNG1" s="235"/>
      <c r="HNH1" s="235"/>
      <c r="HNI1" s="235"/>
      <c r="HNJ1" s="235"/>
      <c r="HNK1" s="235"/>
      <c r="HNL1" s="235"/>
      <c r="HNM1" s="235"/>
      <c r="HNN1" s="235"/>
      <c r="HNO1" s="235"/>
      <c r="HNP1" s="235"/>
      <c r="HNQ1" s="235"/>
      <c r="HNR1" s="235"/>
      <c r="HNS1" s="235"/>
      <c r="HNT1" s="235"/>
      <c r="HNU1" s="235"/>
      <c r="HNV1" s="235"/>
      <c r="HNW1" s="235"/>
      <c r="HNX1" s="235"/>
      <c r="HNY1" s="235"/>
      <c r="HNZ1" s="235"/>
      <c r="HOA1" s="235"/>
      <c r="HOB1" s="235"/>
      <c r="HOC1" s="235"/>
      <c r="HOD1" s="235"/>
      <c r="HOE1" s="235"/>
      <c r="HOF1" s="235"/>
      <c r="HOG1" s="235"/>
      <c r="HOH1" s="235"/>
      <c r="HOI1" s="235"/>
      <c r="HOJ1" s="235"/>
      <c r="HOK1" s="235"/>
      <c r="HOL1" s="235"/>
      <c r="HOM1" s="235"/>
      <c r="HON1" s="235"/>
      <c r="HOO1" s="235"/>
      <c r="HOP1" s="235"/>
      <c r="HOQ1" s="235"/>
      <c r="HOR1" s="235"/>
      <c r="HOS1" s="235"/>
      <c r="HOT1" s="235"/>
      <c r="HOU1" s="235"/>
      <c r="HOV1" s="235"/>
      <c r="HOW1" s="235"/>
      <c r="HOX1" s="235"/>
      <c r="HOY1" s="235"/>
      <c r="HOZ1" s="235"/>
      <c r="HPA1" s="235"/>
      <c r="HPB1" s="235"/>
      <c r="HPC1" s="235"/>
      <c r="HPD1" s="235"/>
      <c r="HPE1" s="235"/>
      <c r="HPF1" s="235"/>
      <c r="HPG1" s="235"/>
      <c r="HPH1" s="235"/>
      <c r="HPI1" s="235"/>
      <c r="HPJ1" s="235"/>
      <c r="HPK1" s="235"/>
      <c r="HPL1" s="235"/>
      <c r="HPM1" s="235"/>
      <c r="HPN1" s="235"/>
      <c r="HPO1" s="235"/>
      <c r="HPP1" s="235"/>
      <c r="HPQ1" s="235"/>
      <c r="HPR1" s="235"/>
      <c r="HPS1" s="235"/>
      <c r="HPT1" s="235"/>
      <c r="HPU1" s="235"/>
      <c r="HPV1" s="235"/>
      <c r="HPW1" s="235"/>
      <c r="HPX1" s="235"/>
      <c r="HPY1" s="235"/>
      <c r="HPZ1" s="235"/>
      <c r="HQA1" s="235"/>
      <c r="HQB1" s="235"/>
      <c r="HQC1" s="235"/>
      <c r="HQD1" s="235"/>
      <c r="HQE1" s="235"/>
      <c r="HQF1" s="235"/>
      <c r="HQG1" s="235"/>
      <c r="HQH1" s="235"/>
      <c r="HQI1" s="235"/>
      <c r="HQJ1" s="235"/>
      <c r="HQK1" s="235"/>
      <c r="HQL1" s="235"/>
      <c r="HQM1" s="235"/>
      <c r="HQN1" s="235"/>
      <c r="HQO1" s="235"/>
      <c r="HQP1" s="235"/>
      <c r="HQQ1" s="235"/>
      <c r="HQR1" s="235"/>
      <c r="HQS1" s="235"/>
      <c r="HQT1" s="235"/>
      <c r="HQU1" s="235"/>
      <c r="HQV1" s="235"/>
      <c r="HQW1" s="235"/>
      <c r="HQX1" s="235"/>
      <c r="HQY1" s="235"/>
      <c r="HQZ1" s="235"/>
      <c r="HRA1" s="235"/>
      <c r="HRB1" s="235"/>
      <c r="HRC1" s="235"/>
      <c r="HRD1" s="235"/>
      <c r="HRE1" s="235"/>
      <c r="HRF1" s="235"/>
      <c r="HRG1" s="235"/>
      <c r="HRH1" s="235"/>
      <c r="HRI1" s="235"/>
      <c r="HRJ1" s="235"/>
      <c r="HRK1" s="235"/>
      <c r="HRL1" s="235"/>
      <c r="HRM1" s="235"/>
      <c r="HRN1" s="235"/>
      <c r="HRO1" s="235"/>
      <c r="HRP1" s="235"/>
      <c r="HRQ1" s="235"/>
      <c r="HRR1" s="235"/>
      <c r="HRS1" s="235"/>
      <c r="HRT1" s="235"/>
      <c r="HRU1" s="235"/>
      <c r="HRV1" s="235"/>
      <c r="HRW1" s="235"/>
      <c r="HRX1" s="235"/>
      <c r="HRY1" s="235"/>
      <c r="HRZ1" s="235"/>
      <c r="HSA1" s="235"/>
      <c r="HSB1" s="235"/>
      <c r="HSC1" s="235"/>
      <c r="HSD1" s="235"/>
      <c r="HSE1" s="235"/>
      <c r="HSF1" s="235"/>
      <c r="HSG1" s="235"/>
      <c r="HSH1" s="235"/>
      <c r="HSI1" s="235"/>
      <c r="HSJ1" s="235"/>
      <c r="HSK1" s="235"/>
      <c r="HSL1" s="235"/>
      <c r="HSM1" s="235"/>
      <c r="HSN1" s="235"/>
      <c r="HSO1" s="235"/>
      <c r="HSP1" s="235"/>
      <c r="HSQ1" s="235"/>
      <c r="HSR1" s="235"/>
      <c r="HSS1" s="235"/>
      <c r="HST1" s="235"/>
      <c r="HSU1" s="235"/>
      <c r="HSV1" s="235"/>
      <c r="HSW1" s="235"/>
      <c r="HSX1" s="235"/>
      <c r="HSY1" s="235"/>
      <c r="HSZ1" s="235"/>
      <c r="HTA1" s="235"/>
      <c r="HTB1" s="235"/>
      <c r="HTC1" s="235"/>
      <c r="HTD1" s="235"/>
      <c r="HTE1" s="235"/>
      <c r="HTF1" s="235"/>
      <c r="HTG1" s="235"/>
      <c r="HTH1" s="235"/>
      <c r="HTI1" s="235"/>
      <c r="HTJ1" s="235"/>
      <c r="HTK1" s="235"/>
      <c r="HTL1" s="235"/>
      <c r="HTM1" s="235"/>
      <c r="HTN1" s="235"/>
      <c r="HTO1" s="235"/>
      <c r="HTP1" s="235"/>
      <c r="HTQ1" s="235"/>
      <c r="HTR1" s="235"/>
      <c r="HTS1" s="235"/>
      <c r="HTT1" s="235"/>
      <c r="HTU1" s="235"/>
      <c r="HTV1" s="235"/>
      <c r="HTW1" s="235"/>
      <c r="HTX1" s="235"/>
      <c r="HTY1" s="235"/>
      <c r="HTZ1" s="235"/>
      <c r="HUA1" s="235"/>
      <c r="HUB1" s="235"/>
      <c r="HUC1" s="235"/>
      <c r="HUD1" s="235"/>
      <c r="HUE1" s="235"/>
      <c r="HUF1" s="235"/>
      <c r="HUG1" s="235"/>
      <c r="HUH1" s="235"/>
      <c r="HUI1" s="235"/>
      <c r="HUJ1" s="235"/>
      <c r="HUK1" s="235"/>
      <c r="HUL1" s="235"/>
      <c r="HUM1" s="235"/>
      <c r="HUN1" s="235"/>
      <c r="HUO1" s="235"/>
      <c r="HUP1" s="235"/>
      <c r="HUQ1" s="235"/>
      <c r="HUR1" s="235"/>
      <c r="HUS1" s="235"/>
      <c r="HUT1" s="235"/>
      <c r="HUU1" s="235"/>
      <c r="HUV1" s="235"/>
      <c r="HUW1" s="235"/>
      <c r="HUX1" s="235"/>
      <c r="HUY1" s="235"/>
      <c r="HUZ1" s="235"/>
      <c r="HVA1" s="235"/>
      <c r="HVB1" s="235"/>
      <c r="HVC1" s="235"/>
      <c r="HVD1" s="235"/>
      <c r="HVE1" s="235"/>
      <c r="HVF1" s="235"/>
      <c r="HVG1" s="235"/>
      <c r="HVH1" s="235"/>
      <c r="HVI1" s="235"/>
      <c r="HVJ1" s="235"/>
      <c r="HVK1" s="235"/>
      <c r="HVL1" s="235"/>
      <c r="HVM1" s="235"/>
      <c r="HVN1" s="235"/>
      <c r="HVO1" s="235"/>
      <c r="HVP1" s="235"/>
      <c r="HVQ1" s="235"/>
      <c r="HVR1" s="235"/>
      <c r="HVS1" s="235"/>
      <c r="HVT1" s="235"/>
      <c r="HVU1" s="235"/>
      <c r="HVV1" s="235"/>
      <c r="HVW1" s="235"/>
      <c r="HVX1" s="235"/>
      <c r="HVY1" s="235"/>
      <c r="HVZ1" s="235"/>
      <c r="HWA1" s="235"/>
      <c r="HWB1" s="235"/>
      <c r="HWC1" s="235"/>
      <c r="HWD1" s="235"/>
      <c r="HWE1" s="235"/>
      <c r="HWF1" s="235"/>
      <c r="HWG1" s="235"/>
      <c r="HWH1" s="235"/>
      <c r="HWI1" s="235"/>
      <c r="HWJ1" s="235"/>
      <c r="HWK1" s="235"/>
      <c r="HWL1" s="235"/>
      <c r="HWM1" s="235"/>
      <c r="HWN1" s="235"/>
      <c r="HWO1" s="235"/>
      <c r="HWP1" s="235"/>
      <c r="HWQ1" s="235"/>
      <c r="HWR1" s="235"/>
      <c r="HWS1" s="235"/>
      <c r="HWT1" s="235"/>
      <c r="HWU1" s="235"/>
      <c r="HWV1" s="235"/>
      <c r="HWW1" s="235"/>
      <c r="HWX1" s="235"/>
      <c r="HWY1" s="235"/>
      <c r="HWZ1" s="235"/>
      <c r="HXA1" s="235"/>
      <c r="HXB1" s="235"/>
      <c r="HXC1" s="235"/>
      <c r="HXD1" s="235"/>
      <c r="HXE1" s="235"/>
      <c r="HXF1" s="235"/>
      <c r="HXG1" s="235"/>
      <c r="HXH1" s="235"/>
      <c r="HXI1" s="235"/>
      <c r="HXJ1" s="235"/>
      <c r="HXK1" s="235"/>
      <c r="HXL1" s="235"/>
      <c r="HXM1" s="235"/>
      <c r="HXN1" s="235"/>
      <c r="HXO1" s="235"/>
      <c r="HXP1" s="235"/>
      <c r="HXQ1" s="235"/>
      <c r="HXR1" s="235"/>
      <c r="HXS1" s="235"/>
      <c r="HXT1" s="235"/>
      <c r="HXU1" s="235"/>
      <c r="HXV1" s="235"/>
      <c r="HXW1" s="235"/>
      <c r="HXX1" s="235"/>
      <c r="HXY1" s="235"/>
      <c r="HXZ1" s="235"/>
      <c r="HYA1" s="235"/>
      <c r="HYB1" s="235"/>
      <c r="HYC1" s="235"/>
      <c r="HYD1" s="235"/>
      <c r="HYE1" s="235"/>
      <c r="HYF1" s="235"/>
      <c r="HYG1" s="235"/>
      <c r="HYH1" s="235"/>
      <c r="HYI1" s="235"/>
      <c r="HYJ1" s="235"/>
      <c r="HYK1" s="235"/>
      <c r="HYL1" s="235"/>
      <c r="HYM1" s="235"/>
      <c r="HYN1" s="235"/>
      <c r="HYO1" s="235"/>
      <c r="HYP1" s="235"/>
      <c r="HYQ1" s="235"/>
      <c r="HYR1" s="235"/>
      <c r="HYS1" s="235"/>
      <c r="HYT1" s="235"/>
      <c r="HYU1" s="235"/>
      <c r="HYV1" s="235"/>
      <c r="HYW1" s="235"/>
      <c r="HYX1" s="235"/>
      <c r="HYY1" s="235"/>
      <c r="HYZ1" s="235"/>
      <c r="HZA1" s="235"/>
      <c r="HZB1" s="235"/>
      <c r="HZC1" s="235"/>
      <c r="HZD1" s="235"/>
      <c r="HZE1" s="235"/>
      <c r="HZF1" s="235"/>
      <c r="HZG1" s="235"/>
      <c r="HZH1" s="235"/>
      <c r="HZI1" s="235"/>
      <c r="HZJ1" s="235"/>
      <c r="HZK1" s="235"/>
      <c r="HZL1" s="235"/>
      <c r="HZM1" s="235"/>
      <c r="HZN1" s="235"/>
      <c r="HZO1" s="235"/>
      <c r="HZP1" s="235"/>
      <c r="HZQ1" s="235"/>
      <c r="HZR1" s="235"/>
      <c r="HZS1" s="235"/>
      <c r="HZT1" s="235"/>
      <c r="HZU1" s="235"/>
      <c r="HZV1" s="235"/>
      <c r="HZW1" s="235"/>
      <c r="HZX1" s="235"/>
      <c r="HZY1" s="235"/>
      <c r="HZZ1" s="235"/>
      <c r="IAA1" s="235"/>
      <c r="IAB1" s="235"/>
      <c r="IAC1" s="235"/>
      <c r="IAD1" s="235"/>
      <c r="IAE1" s="235"/>
      <c r="IAF1" s="235"/>
      <c r="IAG1" s="235"/>
      <c r="IAH1" s="235"/>
      <c r="IAI1" s="235"/>
      <c r="IAJ1" s="235"/>
      <c r="IAK1" s="235"/>
      <c r="IAL1" s="235"/>
      <c r="IAM1" s="235"/>
      <c r="IAN1" s="235"/>
      <c r="IAO1" s="235"/>
      <c r="IAP1" s="235"/>
      <c r="IAQ1" s="235"/>
      <c r="IAR1" s="235"/>
      <c r="IAS1" s="235"/>
      <c r="IAT1" s="235"/>
      <c r="IAU1" s="235"/>
      <c r="IAV1" s="235"/>
      <c r="IAW1" s="235"/>
      <c r="IAX1" s="235"/>
      <c r="IAY1" s="235"/>
      <c r="IAZ1" s="235"/>
      <c r="IBA1" s="235"/>
      <c r="IBB1" s="235"/>
      <c r="IBC1" s="235"/>
      <c r="IBD1" s="235"/>
      <c r="IBE1" s="235"/>
      <c r="IBF1" s="235"/>
      <c r="IBG1" s="235"/>
      <c r="IBH1" s="235"/>
      <c r="IBI1" s="235"/>
      <c r="IBJ1" s="235"/>
      <c r="IBK1" s="235"/>
      <c r="IBL1" s="235"/>
      <c r="IBM1" s="235"/>
      <c r="IBN1" s="235"/>
      <c r="IBO1" s="235"/>
      <c r="IBP1" s="235"/>
      <c r="IBQ1" s="235"/>
      <c r="IBR1" s="235"/>
      <c r="IBS1" s="235"/>
      <c r="IBT1" s="235"/>
      <c r="IBU1" s="235"/>
      <c r="IBV1" s="235"/>
      <c r="IBW1" s="235"/>
      <c r="IBX1" s="235"/>
      <c r="IBY1" s="235"/>
      <c r="IBZ1" s="235"/>
      <c r="ICA1" s="235"/>
      <c r="ICB1" s="235"/>
      <c r="ICC1" s="235"/>
      <c r="ICD1" s="235"/>
      <c r="ICE1" s="235"/>
      <c r="ICF1" s="235"/>
      <c r="ICG1" s="235"/>
      <c r="ICH1" s="235"/>
      <c r="ICI1" s="235"/>
      <c r="ICJ1" s="235"/>
      <c r="ICK1" s="235"/>
      <c r="ICL1" s="235"/>
      <c r="ICM1" s="235"/>
      <c r="ICN1" s="235"/>
      <c r="ICO1" s="235"/>
      <c r="ICP1" s="235"/>
      <c r="ICQ1" s="235"/>
      <c r="ICR1" s="235"/>
      <c r="ICS1" s="235"/>
      <c r="ICT1" s="235"/>
      <c r="ICU1" s="235"/>
      <c r="ICV1" s="235"/>
      <c r="ICW1" s="235"/>
      <c r="ICX1" s="235"/>
      <c r="ICY1" s="235"/>
      <c r="ICZ1" s="235"/>
      <c r="IDA1" s="235"/>
      <c r="IDB1" s="235"/>
      <c r="IDC1" s="235"/>
      <c r="IDD1" s="235"/>
      <c r="IDE1" s="235"/>
      <c r="IDF1" s="235"/>
      <c r="IDG1" s="235"/>
      <c r="IDH1" s="235"/>
      <c r="IDI1" s="235"/>
      <c r="IDJ1" s="235"/>
      <c r="IDK1" s="235"/>
      <c r="IDL1" s="235"/>
      <c r="IDM1" s="235"/>
      <c r="IDN1" s="235"/>
      <c r="IDO1" s="235"/>
      <c r="IDP1" s="235"/>
      <c r="IDQ1" s="235"/>
      <c r="IDR1" s="235"/>
      <c r="IDS1" s="235"/>
      <c r="IDT1" s="235"/>
      <c r="IDU1" s="235"/>
      <c r="IDV1" s="235"/>
      <c r="IDW1" s="235"/>
      <c r="IDX1" s="235"/>
      <c r="IDY1" s="235"/>
      <c r="IDZ1" s="235"/>
      <c r="IEA1" s="235"/>
      <c r="IEB1" s="235"/>
      <c r="IEC1" s="235"/>
      <c r="IED1" s="235"/>
      <c r="IEE1" s="235"/>
      <c r="IEF1" s="235"/>
      <c r="IEG1" s="235"/>
      <c r="IEH1" s="235"/>
      <c r="IEI1" s="235"/>
      <c r="IEJ1" s="235"/>
      <c r="IEK1" s="235"/>
      <c r="IEL1" s="235"/>
      <c r="IEM1" s="235"/>
      <c r="IEN1" s="235"/>
      <c r="IEO1" s="235"/>
      <c r="IEP1" s="235"/>
      <c r="IEQ1" s="235"/>
      <c r="IER1" s="235"/>
      <c r="IES1" s="235"/>
      <c r="IET1" s="235"/>
      <c r="IEU1" s="235"/>
      <c r="IEV1" s="235"/>
      <c r="IEW1" s="235"/>
      <c r="IEX1" s="235"/>
      <c r="IEY1" s="235"/>
      <c r="IEZ1" s="235"/>
      <c r="IFA1" s="235"/>
      <c r="IFB1" s="235"/>
      <c r="IFC1" s="235"/>
      <c r="IFD1" s="235"/>
      <c r="IFE1" s="235"/>
      <c r="IFF1" s="235"/>
      <c r="IFG1" s="235"/>
      <c r="IFH1" s="235"/>
      <c r="IFI1" s="235"/>
      <c r="IFJ1" s="235"/>
      <c r="IFK1" s="235"/>
      <c r="IFL1" s="235"/>
      <c r="IFM1" s="235"/>
      <c r="IFN1" s="235"/>
      <c r="IFO1" s="235"/>
      <c r="IFP1" s="235"/>
      <c r="IFQ1" s="235"/>
      <c r="IFR1" s="235"/>
      <c r="IFS1" s="235"/>
      <c r="IFT1" s="235"/>
      <c r="IFU1" s="235"/>
      <c r="IFV1" s="235"/>
      <c r="IFW1" s="235"/>
      <c r="IFX1" s="235"/>
      <c r="IFY1" s="235"/>
      <c r="IFZ1" s="235"/>
      <c r="IGA1" s="235"/>
      <c r="IGB1" s="235"/>
      <c r="IGC1" s="235"/>
      <c r="IGD1" s="235"/>
      <c r="IGE1" s="235"/>
      <c r="IGF1" s="235"/>
      <c r="IGG1" s="235"/>
      <c r="IGH1" s="235"/>
      <c r="IGI1" s="235"/>
      <c r="IGJ1" s="235"/>
      <c r="IGK1" s="235"/>
      <c r="IGL1" s="235"/>
      <c r="IGM1" s="235"/>
      <c r="IGN1" s="235"/>
      <c r="IGO1" s="235"/>
      <c r="IGP1" s="235"/>
      <c r="IGQ1" s="235"/>
      <c r="IGR1" s="235"/>
      <c r="IGS1" s="235"/>
      <c r="IGT1" s="235"/>
      <c r="IGU1" s="235"/>
      <c r="IGV1" s="235"/>
      <c r="IGW1" s="235"/>
      <c r="IGX1" s="235"/>
      <c r="IGY1" s="235"/>
      <c r="IGZ1" s="235"/>
      <c r="IHA1" s="235"/>
      <c r="IHB1" s="235"/>
      <c r="IHC1" s="235"/>
      <c r="IHD1" s="235"/>
      <c r="IHE1" s="235"/>
      <c r="IHF1" s="235"/>
      <c r="IHG1" s="235"/>
      <c r="IHH1" s="235"/>
      <c r="IHI1" s="235"/>
      <c r="IHJ1" s="235"/>
      <c r="IHK1" s="235"/>
      <c r="IHL1" s="235"/>
      <c r="IHM1" s="235"/>
      <c r="IHN1" s="235"/>
      <c r="IHO1" s="235"/>
      <c r="IHP1" s="235"/>
      <c r="IHQ1" s="235"/>
      <c r="IHR1" s="235"/>
      <c r="IHS1" s="235"/>
      <c r="IHT1" s="235"/>
      <c r="IHU1" s="235"/>
      <c r="IHV1" s="235"/>
      <c r="IHW1" s="235"/>
      <c r="IHX1" s="235"/>
      <c r="IHY1" s="235"/>
      <c r="IHZ1" s="235"/>
      <c r="IIA1" s="235"/>
      <c r="IIB1" s="235"/>
      <c r="IIC1" s="235"/>
      <c r="IID1" s="235"/>
      <c r="IIE1" s="235"/>
      <c r="IIF1" s="235"/>
      <c r="IIG1" s="235"/>
      <c r="IIH1" s="235"/>
      <c r="III1" s="235"/>
      <c r="IIJ1" s="235"/>
      <c r="IIK1" s="235"/>
      <c r="IIL1" s="235"/>
      <c r="IIM1" s="235"/>
      <c r="IIN1" s="235"/>
      <c r="IIO1" s="235"/>
      <c r="IIP1" s="235"/>
      <c r="IIQ1" s="235"/>
      <c r="IIR1" s="235"/>
      <c r="IIS1" s="235"/>
      <c r="IIT1" s="235"/>
      <c r="IIU1" s="235"/>
      <c r="IIV1" s="235"/>
      <c r="IIW1" s="235"/>
      <c r="IIX1" s="235"/>
      <c r="IIY1" s="235"/>
      <c r="IIZ1" s="235"/>
      <c r="IJA1" s="235"/>
      <c r="IJB1" s="235"/>
      <c r="IJC1" s="235"/>
      <c r="IJD1" s="235"/>
      <c r="IJE1" s="235"/>
      <c r="IJF1" s="235"/>
      <c r="IJG1" s="235"/>
      <c r="IJH1" s="235"/>
      <c r="IJI1" s="235"/>
      <c r="IJJ1" s="235"/>
      <c r="IJK1" s="235"/>
      <c r="IJL1" s="235"/>
      <c r="IJM1" s="235"/>
      <c r="IJN1" s="235"/>
      <c r="IJO1" s="235"/>
      <c r="IJP1" s="235"/>
      <c r="IJQ1" s="235"/>
      <c r="IJR1" s="235"/>
      <c r="IJS1" s="235"/>
      <c r="IJT1" s="235"/>
      <c r="IJU1" s="235"/>
      <c r="IJV1" s="235"/>
      <c r="IJW1" s="235"/>
      <c r="IJX1" s="235"/>
      <c r="IJY1" s="235"/>
      <c r="IJZ1" s="235"/>
      <c r="IKA1" s="235"/>
      <c r="IKB1" s="235"/>
      <c r="IKC1" s="235"/>
      <c r="IKD1" s="235"/>
      <c r="IKE1" s="235"/>
      <c r="IKF1" s="235"/>
      <c r="IKG1" s="235"/>
      <c r="IKH1" s="235"/>
      <c r="IKI1" s="235"/>
      <c r="IKJ1" s="235"/>
      <c r="IKK1" s="235"/>
      <c r="IKL1" s="235"/>
      <c r="IKM1" s="235"/>
      <c r="IKN1" s="235"/>
      <c r="IKO1" s="235"/>
      <c r="IKP1" s="235"/>
      <c r="IKQ1" s="235"/>
      <c r="IKR1" s="235"/>
      <c r="IKS1" s="235"/>
      <c r="IKT1" s="235"/>
      <c r="IKU1" s="235"/>
      <c r="IKV1" s="235"/>
      <c r="IKW1" s="235"/>
      <c r="IKX1" s="235"/>
      <c r="IKY1" s="235"/>
      <c r="IKZ1" s="235"/>
      <c r="ILA1" s="235"/>
      <c r="ILB1" s="235"/>
      <c r="ILC1" s="235"/>
      <c r="ILD1" s="235"/>
      <c r="ILE1" s="235"/>
      <c r="ILF1" s="235"/>
      <c r="ILG1" s="235"/>
      <c r="ILH1" s="235"/>
      <c r="ILI1" s="235"/>
      <c r="ILJ1" s="235"/>
      <c r="ILK1" s="235"/>
      <c r="ILL1" s="235"/>
      <c r="ILM1" s="235"/>
      <c r="ILN1" s="235"/>
      <c r="ILO1" s="235"/>
      <c r="ILP1" s="235"/>
      <c r="ILQ1" s="235"/>
      <c r="ILR1" s="235"/>
      <c r="ILS1" s="235"/>
      <c r="ILT1" s="235"/>
      <c r="ILU1" s="235"/>
      <c r="ILV1" s="235"/>
      <c r="ILW1" s="235"/>
      <c r="ILX1" s="235"/>
      <c r="ILY1" s="235"/>
      <c r="ILZ1" s="235"/>
      <c r="IMA1" s="235"/>
      <c r="IMB1" s="235"/>
      <c r="IMC1" s="235"/>
      <c r="IMD1" s="235"/>
      <c r="IME1" s="235"/>
      <c r="IMF1" s="235"/>
      <c r="IMG1" s="235"/>
      <c r="IMH1" s="235"/>
      <c r="IMI1" s="235"/>
      <c r="IMJ1" s="235"/>
      <c r="IMK1" s="235"/>
      <c r="IML1" s="235"/>
      <c r="IMM1" s="235"/>
      <c r="IMN1" s="235"/>
      <c r="IMO1" s="235"/>
      <c r="IMP1" s="235"/>
      <c r="IMQ1" s="235"/>
      <c r="IMR1" s="235"/>
      <c r="IMS1" s="235"/>
      <c r="IMT1" s="235"/>
      <c r="IMU1" s="235"/>
      <c r="IMV1" s="235"/>
      <c r="IMW1" s="235"/>
      <c r="IMX1" s="235"/>
      <c r="IMY1" s="235"/>
      <c r="IMZ1" s="235"/>
      <c r="INA1" s="235"/>
      <c r="INB1" s="235"/>
      <c r="INC1" s="235"/>
      <c r="IND1" s="235"/>
      <c r="INE1" s="235"/>
      <c r="INF1" s="235"/>
      <c r="ING1" s="235"/>
      <c r="INH1" s="235"/>
      <c r="INI1" s="235"/>
      <c r="INJ1" s="235"/>
      <c r="INK1" s="235"/>
      <c r="INL1" s="235"/>
      <c r="INM1" s="235"/>
      <c r="INN1" s="235"/>
      <c r="INO1" s="235"/>
      <c r="INP1" s="235"/>
      <c r="INQ1" s="235"/>
      <c r="INR1" s="235"/>
      <c r="INS1" s="235"/>
      <c r="INT1" s="235"/>
      <c r="INU1" s="235"/>
      <c r="INV1" s="235"/>
      <c r="INW1" s="235"/>
      <c r="INX1" s="235"/>
      <c r="INY1" s="235"/>
      <c r="INZ1" s="235"/>
      <c r="IOA1" s="235"/>
      <c r="IOB1" s="235"/>
      <c r="IOC1" s="235"/>
      <c r="IOD1" s="235"/>
      <c r="IOE1" s="235"/>
      <c r="IOF1" s="235"/>
      <c r="IOG1" s="235"/>
      <c r="IOH1" s="235"/>
      <c r="IOI1" s="235"/>
      <c r="IOJ1" s="235"/>
      <c r="IOK1" s="235"/>
      <c r="IOL1" s="235"/>
      <c r="IOM1" s="235"/>
      <c r="ION1" s="235"/>
      <c r="IOO1" s="235"/>
      <c r="IOP1" s="235"/>
      <c r="IOQ1" s="235"/>
      <c r="IOR1" s="235"/>
      <c r="IOS1" s="235"/>
      <c r="IOT1" s="235"/>
      <c r="IOU1" s="235"/>
      <c r="IOV1" s="235"/>
      <c r="IOW1" s="235"/>
      <c r="IOX1" s="235"/>
      <c r="IOY1" s="235"/>
      <c r="IOZ1" s="235"/>
      <c r="IPA1" s="235"/>
      <c r="IPB1" s="235"/>
      <c r="IPC1" s="235"/>
      <c r="IPD1" s="235"/>
      <c r="IPE1" s="235"/>
      <c r="IPF1" s="235"/>
      <c r="IPG1" s="235"/>
      <c r="IPH1" s="235"/>
      <c r="IPI1" s="235"/>
      <c r="IPJ1" s="235"/>
      <c r="IPK1" s="235"/>
      <c r="IPL1" s="235"/>
      <c r="IPM1" s="235"/>
      <c r="IPN1" s="235"/>
      <c r="IPO1" s="235"/>
      <c r="IPP1" s="235"/>
      <c r="IPQ1" s="235"/>
      <c r="IPR1" s="235"/>
      <c r="IPS1" s="235"/>
      <c r="IPT1" s="235"/>
      <c r="IPU1" s="235"/>
      <c r="IPV1" s="235"/>
      <c r="IPW1" s="235"/>
      <c r="IPX1" s="235"/>
      <c r="IPY1" s="235"/>
      <c r="IPZ1" s="235"/>
      <c r="IQA1" s="235"/>
      <c r="IQB1" s="235"/>
      <c r="IQC1" s="235"/>
      <c r="IQD1" s="235"/>
      <c r="IQE1" s="235"/>
      <c r="IQF1" s="235"/>
      <c r="IQG1" s="235"/>
      <c r="IQH1" s="235"/>
      <c r="IQI1" s="235"/>
      <c r="IQJ1" s="235"/>
      <c r="IQK1" s="235"/>
      <c r="IQL1" s="235"/>
      <c r="IQM1" s="235"/>
      <c r="IQN1" s="235"/>
      <c r="IQO1" s="235"/>
      <c r="IQP1" s="235"/>
      <c r="IQQ1" s="235"/>
      <c r="IQR1" s="235"/>
      <c r="IQS1" s="235"/>
      <c r="IQT1" s="235"/>
      <c r="IQU1" s="235"/>
      <c r="IQV1" s="235"/>
      <c r="IQW1" s="235"/>
      <c r="IQX1" s="235"/>
      <c r="IQY1" s="235"/>
      <c r="IQZ1" s="235"/>
      <c r="IRA1" s="235"/>
      <c r="IRB1" s="235"/>
      <c r="IRC1" s="235"/>
      <c r="IRD1" s="235"/>
      <c r="IRE1" s="235"/>
      <c r="IRF1" s="235"/>
      <c r="IRG1" s="235"/>
      <c r="IRH1" s="235"/>
      <c r="IRI1" s="235"/>
      <c r="IRJ1" s="235"/>
      <c r="IRK1" s="235"/>
      <c r="IRL1" s="235"/>
      <c r="IRM1" s="235"/>
      <c r="IRN1" s="235"/>
      <c r="IRO1" s="235"/>
      <c r="IRP1" s="235"/>
      <c r="IRQ1" s="235"/>
      <c r="IRR1" s="235"/>
      <c r="IRS1" s="235"/>
      <c r="IRT1" s="235"/>
      <c r="IRU1" s="235"/>
      <c r="IRV1" s="235"/>
      <c r="IRW1" s="235"/>
      <c r="IRX1" s="235"/>
      <c r="IRY1" s="235"/>
      <c r="IRZ1" s="235"/>
      <c r="ISA1" s="235"/>
      <c r="ISB1" s="235"/>
      <c r="ISC1" s="235"/>
      <c r="ISD1" s="235"/>
      <c r="ISE1" s="235"/>
      <c r="ISF1" s="235"/>
      <c r="ISG1" s="235"/>
      <c r="ISH1" s="235"/>
      <c r="ISI1" s="235"/>
      <c r="ISJ1" s="235"/>
      <c r="ISK1" s="235"/>
      <c r="ISL1" s="235"/>
      <c r="ISM1" s="235"/>
      <c r="ISN1" s="235"/>
      <c r="ISO1" s="235"/>
      <c r="ISP1" s="235"/>
      <c r="ISQ1" s="235"/>
      <c r="ISR1" s="235"/>
      <c r="ISS1" s="235"/>
      <c r="IST1" s="235"/>
      <c r="ISU1" s="235"/>
      <c r="ISV1" s="235"/>
      <c r="ISW1" s="235"/>
      <c r="ISX1" s="235"/>
      <c r="ISY1" s="235"/>
      <c r="ISZ1" s="235"/>
      <c r="ITA1" s="235"/>
      <c r="ITB1" s="235"/>
      <c r="ITC1" s="235"/>
      <c r="ITD1" s="235"/>
      <c r="ITE1" s="235"/>
      <c r="ITF1" s="235"/>
      <c r="ITG1" s="235"/>
      <c r="ITH1" s="235"/>
      <c r="ITI1" s="235"/>
      <c r="ITJ1" s="235"/>
      <c r="ITK1" s="235"/>
      <c r="ITL1" s="235"/>
      <c r="ITM1" s="235"/>
      <c r="ITN1" s="235"/>
      <c r="ITO1" s="235"/>
      <c r="ITP1" s="235"/>
      <c r="ITQ1" s="235"/>
      <c r="ITR1" s="235"/>
      <c r="ITS1" s="235"/>
      <c r="ITT1" s="235"/>
      <c r="ITU1" s="235"/>
      <c r="ITV1" s="235"/>
      <c r="ITW1" s="235"/>
      <c r="ITX1" s="235"/>
      <c r="ITY1" s="235"/>
      <c r="ITZ1" s="235"/>
      <c r="IUA1" s="235"/>
      <c r="IUB1" s="235"/>
      <c r="IUC1" s="235"/>
      <c r="IUD1" s="235"/>
      <c r="IUE1" s="235"/>
      <c r="IUF1" s="235"/>
      <c r="IUG1" s="235"/>
      <c r="IUH1" s="235"/>
      <c r="IUI1" s="235"/>
      <c r="IUJ1" s="235"/>
      <c r="IUK1" s="235"/>
      <c r="IUL1" s="235"/>
      <c r="IUM1" s="235"/>
      <c r="IUN1" s="235"/>
      <c r="IUO1" s="235"/>
      <c r="IUP1" s="235"/>
      <c r="IUQ1" s="235"/>
      <c r="IUR1" s="235"/>
      <c r="IUS1" s="235"/>
      <c r="IUT1" s="235"/>
      <c r="IUU1" s="235"/>
      <c r="IUV1" s="235"/>
      <c r="IUW1" s="235"/>
      <c r="IUX1" s="235"/>
      <c r="IUY1" s="235"/>
      <c r="IUZ1" s="235"/>
      <c r="IVA1" s="235"/>
      <c r="IVB1" s="235"/>
      <c r="IVC1" s="235"/>
      <c r="IVD1" s="235"/>
      <c r="IVE1" s="235"/>
      <c r="IVF1" s="235"/>
      <c r="IVG1" s="235"/>
      <c r="IVH1" s="235"/>
      <c r="IVI1" s="235"/>
      <c r="IVJ1" s="235"/>
      <c r="IVK1" s="235"/>
      <c r="IVL1" s="235"/>
      <c r="IVM1" s="235"/>
      <c r="IVN1" s="235"/>
      <c r="IVO1" s="235"/>
      <c r="IVP1" s="235"/>
      <c r="IVQ1" s="235"/>
      <c r="IVR1" s="235"/>
      <c r="IVS1" s="235"/>
      <c r="IVT1" s="235"/>
      <c r="IVU1" s="235"/>
      <c r="IVV1" s="235"/>
      <c r="IVW1" s="235"/>
      <c r="IVX1" s="235"/>
      <c r="IVY1" s="235"/>
      <c r="IVZ1" s="235"/>
      <c r="IWA1" s="235"/>
      <c r="IWB1" s="235"/>
      <c r="IWC1" s="235"/>
      <c r="IWD1" s="235"/>
      <c r="IWE1" s="235"/>
      <c r="IWF1" s="235"/>
      <c r="IWG1" s="235"/>
      <c r="IWH1" s="235"/>
      <c r="IWI1" s="235"/>
      <c r="IWJ1" s="235"/>
      <c r="IWK1" s="235"/>
      <c r="IWL1" s="235"/>
      <c r="IWM1" s="235"/>
      <c r="IWN1" s="235"/>
      <c r="IWO1" s="235"/>
      <c r="IWP1" s="235"/>
      <c r="IWQ1" s="235"/>
      <c r="IWR1" s="235"/>
      <c r="IWS1" s="235"/>
      <c r="IWT1" s="235"/>
      <c r="IWU1" s="235"/>
      <c r="IWV1" s="235"/>
      <c r="IWW1" s="235"/>
      <c r="IWX1" s="235"/>
      <c r="IWY1" s="235"/>
      <c r="IWZ1" s="235"/>
      <c r="IXA1" s="235"/>
      <c r="IXB1" s="235"/>
      <c r="IXC1" s="235"/>
      <c r="IXD1" s="235"/>
      <c r="IXE1" s="235"/>
      <c r="IXF1" s="235"/>
      <c r="IXG1" s="235"/>
      <c r="IXH1" s="235"/>
      <c r="IXI1" s="235"/>
      <c r="IXJ1" s="235"/>
      <c r="IXK1" s="235"/>
      <c r="IXL1" s="235"/>
      <c r="IXM1" s="235"/>
      <c r="IXN1" s="235"/>
      <c r="IXO1" s="235"/>
      <c r="IXP1" s="235"/>
      <c r="IXQ1" s="235"/>
      <c r="IXR1" s="235"/>
      <c r="IXS1" s="235"/>
      <c r="IXT1" s="235"/>
      <c r="IXU1" s="235"/>
      <c r="IXV1" s="235"/>
      <c r="IXW1" s="235"/>
      <c r="IXX1" s="235"/>
      <c r="IXY1" s="235"/>
      <c r="IXZ1" s="235"/>
      <c r="IYA1" s="235"/>
      <c r="IYB1" s="235"/>
      <c r="IYC1" s="235"/>
      <c r="IYD1" s="235"/>
      <c r="IYE1" s="235"/>
      <c r="IYF1" s="235"/>
      <c r="IYG1" s="235"/>
      <c r="IYH1" s="235"/>
      <c r="IYI1" s="235"/>
      <c r="IYJ1" s="235"/>
      <c r="IYK1" s="235"/>
      <c r="IYL1" s="235"/>
      <c r="IYM1" s="235"/>
      <c r="IYN1" s="235"/>
      <c r="IYO1" s="235"/>
      <c r="IYP1" s="235"/>
      <c r="IYQ1" s="235"/>
      <c r="IYR1" s="235"/>
      <c r="IYS1" s="235"/>
      <c r="IYT1" s="235"/>
      <c r="IYU1" s="235"/>
      <c r="IYV1" s="235"/>
      <c r="IYW1" s="235"/>
      <c r="IYX1" s="235"/>
      <c r="IYY1" s="235"/>
      <c r="IYZ1" s="235"/>
      <c r="IZA1" s="235"/>
      <c r="IZB1" s="235"/>
      <c r="IZC1" s="235"/>
      <c r="IZD1" s="235"/>
      <c r="IZE1" s="235"/>
      <c r="IZF1" s="235"/>
      <c r="IZG1" s="235"/>
      <c r="IZH1" s="235"/>
      <c r="IZI1" s="235"/>
      <c r="IZJ1" s="235"/>
      <c r="IZK1" s="235"/>
      <c r="IZL1" s="235"/>
      <c r="IZM1" s="235"/>
      <c r="IZN1" s="235"/>
      <c r="IZO1" s="235"/>
      <c r="IZP1" s="235"/>
      <c r="IZQ1" s="235"/>
      <c r="IZR1" s="235"/>
      <c r="IZS1" s="235"/>
      <c r="IZT1" s="235"/>
      <c r="IZU1" s="235"/>
      <c r="IZV1" s="235"/>
      <c r="IZW1" s="235"/>
      <c r="IZX1" s="235"/>
      <c r="IZY1" s="235"/>
      <c r="IZZ1" s="235"/>
      <c r="JAA1" s="235"/>
      <c r="JAB1" s="235"/>
      <c r="JAC1" s="235"/>
      <c r="JAD1" s="235"/>
      <c r="JAE1" s="235"/>
      <c r="JAF1" s="235"/>
      <c r="JAG1" s="235"/>
      <c r="JAH1" s="235"/>
      <c r="JAI1" s="235"/>
      <c r="JAJ1" s="235"/>
      <c r="JAK1" s="235"/>
      <c r="JAL1" s="235"/>
      <c r="JAM1" s="235"/>
      <c r="JAN1" s="235"/>
      <c r="JAO1" s="235"/>
      <c r="JAP1" s="235"/>
      <c r="JAQ1" s="235"/>
      <c r="JAR1" s="235"/>
      <c r="JAS1" s="235"/>
      <c r="JAT1" s="235"/>
      <c r="JAU1" s="235"/>
      <c r="JAV1" s="235"/>
      <c r="JAW1" s="235"/>
      <c r="JAX1" s="235"/>
      <c r="JAY1" s="235"/>
      <c r="JAZ1" s="235"/>
      <c r="JBA1" s="235"/>
      <c r="JBB1" s="235"/>
      <c r="JBC1" s="235"/>
      <c r="JBD1" s="235"/>
      <c r="JBE1" s="235"/>
      <c r="JBF1" s="235"/>
      <c r="JBG1" s="235"/>
      <c r="JBH1" s="235"/>
      <c r="JBI1" s="235"/>
      <c r="JBJ1" s="235"/>
      <c r="JBK1" s="235"/>
      <c r="JBL1" s="235"/>
      <c r="JBM1" s="235"/>
      <c r="JBN1" s="235"/>
      <c r="JBO1" s="235"/>
      <c r="JBP1" s="235"/>
      <c r="JBQ1" s="235"/>
      <c r="JBR1" s="235"/>
      <c r="JBS1" s="235"/>
      <c r="JBT1" s="235"/>
      <c r="JBU1" s="235"/>
      <c r="JBV1" s="235"/>
      <c r="JBW1" s="235"/>
      <c r="JBX1" s="235"/>
      <c r="JBY1" s="235"/>
      <c r="JBZ1" s="235"/>
      <c r="JCA1" s="235"/>
      <c r="JCB1" s="235"/>
      <c r="JCC1" s="235"/>
      <c r="JCD1" s="235"/>
      <c r="JCE1" s="235"/>
      <c r="JCF1" s="235"/>
      <c r="JCG1" s="235"/>
      <c r="JCH1" s="235"/>
      <c r="JCI1" s="235"/>
      <c r="JCJ1" s="235"/>
      <c r="JCK1" s="235"/>
      <c r="JCL1" s="235"/>
      <c r="JCM1" s="235"/>
      <c r="JCN1" s="235"/>
      <c r="JCO1" s="235"/>
      <c r="JCP1" s="235"/>
      <c r="JCQ1" s="235"/>
      <c r="JCR1" s="235"/>
      <c r="JCS1" s="235"/>
      <c r="JCT1" s="235"/>
      <c r="JCU1" s="235"/>
      <c r="JCV1" s="235"/>
      <c r="JCW1" s="235"/>
      <c r="JCX1" s="235"/>
      <c r="JCY1" s="235"/>
      <c r="JCZ1" s="235"/>
      <c r="JDA1" s="235"/>
      <c r="JDB1" s="235"/>
      <c r="JDC1" s="235"/>
      <c r="JDD1" s="235"/>
      <c r="JDE1" s="235"/>
      <c r="JDF1" s="235"/>
      <c r="JDG1" s="235"/>
      <c r="JDH1" s="235"/>
      <c r="JDI1" s="235"/>
      <c r="JDJ1" s="235"/>
      <c r="JDK1" s="235"/>
      <c r="JDL1" s="235"/>
      <c r="JDM1" s="235"/>
      <c r="JDN1" s="235"/>
      <c r="JDO1" s="235"/>
      <c r="JDP1" s="235"/>
      <c r="JDQ1" s="235"/>
      <c r="JDR1" s="235"/>
      <c r="JDS1" s="235"/>
      <c r="JDT1" s="235"/>
      <c r="JDU1" s="235"/>
      <c r="JDV1" s="235"/>
      <c r="JDW1" s="235"/>
      <c r="JDX1" s="235"/>
      <c r="JDY1" s="235"/>
      <c r="JDZ1" s="235"/>
      <c r="JEA1" s="235"/>
      <c r="JEB1" s="235"/>
      <c r="JEC1" s="235"/>
      <c r="JED1" s="235"/>
      <c r="JEE1" s="235"/>
      <c r="JEF1" s="235"/>
      <c r="JEG1" s="235"/>
      <c r="JEH1" s="235"/>
      <c r="JEI1" s="235"/>
      <c r="JEJ1" s="235"/>
      <c r="JEK1" s="235"/>
      <c r="JEL1" s="235"/>
      <c r="JEM1" s="235"/>
      <c r="JEN1" s="235"/>
      <c r="JEO1" s="235"/>
      <c r="JEP1" s="235"/>
      <c r="JEQ1" s="235"/>
      <c r="JER1" s="235"/>
      <c r="JES1" s="235"/>
      <c r="JET1" s="235"/>
      <c r="JEU1" s="235"/>
      <c r="JEV1" s="235"/>
      <c r="JEW1" s="235"/>
      <c r="JEX1" s="235"/>
      <c r="JEY1" s="235"/>
      <c r="JEZ1" s="235"/>
      <c r="JFA1" s="235"/>
      <c r="JFB1" s="235"/>
      <c r="JFC1" s="235"/>
      <c r="JFD1" s="235"/>
      <c r="JFE1" s="235"/>
      <c r="JFF1" s="235"/>
      <c r="JFG1" s="235"/>
      <c r="JFH1" s="235"/>
      <c r="JFI1" s="235"/>
      <c r="JFJ1" s="235"/>
      <c r="JFK1" s="235"/>
      <c r="JFL1" s="235"/>
      <c r="JFM1" s="235"/>
      <c r="JFN1" s="235"/>
      <c r="JFO1" s="235"/>
      <c r="JFP1" s="235"/>
      <c r="JFQ1" s="235"/>
      <c r="JFR1" s="235"/>
      <c r="JFS1" s="235"/>
      <c r="JFT1" s="235"/>
      <c r="JFU1" s="235"/>
      <c r="JFV1" s="235"/>
      <c r="JFW1" s="235"/>
      <c r="JFX1" s="235"/>
      <c r="JFY1" s="235"/>
      <c r="JFZ1" s="235"/>
      <c r="JGA1" s="235"/>
      <c r="JGB1" s="235"/>
      <c r="JGC1" s="235"/>
      <c r="JGD1" s="235"/>
      <c r="JGE1" s="235"/>
      <c r="JGF1" s="235"/>
      <c r="JGG1" s="235"/>
      <c r="JGH1" s="235"/>
      <c r="JGI1" s="235"/>
      <c r="JGJ1" s="235"/>
      <c r="JGK1" s="235"/>
      <c r="JGL1" s="235"/>
      <c r="JGM1" s="235"/>
      <c r="JGN1" s="235"/>
      <c r="JGO1" s="235"/>
      <c r="JGP1" s="235"/>
      <c r="JGQ1" s="235"/>
      <c r="JGR1" s="235"/>
      <c r="JGS1" s="235"/>
      <c r="JGT1" s="235"/>
      <c r="JGU1" s="235"/>
      <c r="JGV1" s="235"/>
      <c r="JGW1" s="235"/>
      <c r="JGX1" s="235"/>
      <c r="JGY1" s="235"/>
      <c r="JGZ1" s="235"/>
      <c r="JHA1" s="235"/>
      <c r="JHB1" s="235"/>
      <c r="JHC1" s="235"/>
      <c r="JHD1" s="235"/>
      <c r="JHE1" s="235"/>
      <c r="JHF1" s="235"/>
      <c r="JHG1" s="235"/>
      <c r="JHH1" s="235"/>
      <c r="JHI1" s="235"/>
      <c r="JHJ1" s="235"/>
      <c r="JHK1" s="235"/>
      <c r="JHL1" s="235"/>
      <c r="JHM1" s="235"/>
      <c r="JHN1" s="235"/>
      <c r="JHO1" s="235"/>
      <c r="JHP1" s="235"/>
      <c r="JHQ1" s="235"/>
      <c r="JHR1" s="235"/>
      <c r="JHS1" s="235"/>
      <c r="JHT1" s="235"/>
      <c r="JHU1" s="235"/>
      <c r="JHV1" s="235"/>
      <c r="JHW1" s="235"/>
      <c r="JHX1" s="235"/>
      <c r="JHY1" s="235"/>
      <c r="JHZ1" s="235"/>
      <c r="JIA1" s="235"/>
      <c r="JIB1" s="235"/>
      <c r="JIC1" s="235"/>
      <c r="JID1" s="235"/>
      <c r="JIE1" s="235"/>
      <c r="JIF1" s="235"/>
      <c r="JIG1" s="235"/>
      <c r="JIH1" s="235"/>
      <c r="JII1" s="235"/>
      <c r="JIJ1" s="235"/>
      <c r="JIK1" s="235"/>
      <c r="JIL1" s="235"/>
      <c r="JIM1" s="235"/>
      <c r="JIN1" s="235"/>
      <c r="JIO1" s="235"/>
      <c r="JIP1" s="235"/>
      <c r="JIQ1" s="235"/>
      <c r="JIR1" s="235"/>
      <c r="JIS1" s="235"/>
      <c r="JIT1" s="235"/>
      <c r="JIU1" s="235"/>
      <c r="JIV1" s="235"/>
      <c r="JIW1" s="235"/>
      <c r="JIX1" s="235"/>
      <c r="JIY1" s="235"/>
      <c r="JIZ1" s="235"/>
      <c r="JJA1" s="235"/>
      <c r="JJB1" s="235"/>
      <c r="JJC1" s="235"/>
      <c r="JJD1" s="235"/>
      <c r="JJE1" s="235"/>
      <c r="JJF1" s="235"/>
      <c r="JJG1" s="235"/>
      <c r="JJH1" s="235"/>
      <c r="JJI1" s="235"/>
      <c r="JJJ1" s="235"/>
      <c r="JJK1" s="235"/>
      <c r="JJL1" s="235"/>
      <c r="JJM1" s="235"/>
      <c r="JJN1" s="235"/>
      <c r="JJO1" s="235"/>
      <c r="JJP1" s="235"/>
      <c r="JJQ1" s="235"/>
      <c r="JJR1" s="235"/>
      <c r="JJS1" s="235"/>
      <c r="JJT1" s="235"/>
      <c r="JJU1" s="235"/>
      <c r="JJV1" s="235"/>
      <c r="JJW1" s="235"/>
      <c r="JJX1" s="235"/>
      <c r="JJY1" s="235"/>
      <c r="JJZ1" s="235"/>
      <c r="JKA1" s="235"/>
      <c r="JKB1" s="235"/>
      <c r="JKC1" s="235"/>
      <c r="JKD1" s="235"/>
      <c r="JKE1" s="235"/>
      <c r="JKF1" s="235"/>
      <c r="JKG1" s="235"/>
      <c r="JKH1" s="235"/>
      <c r="JKI1" s="235"/>
      <c r="JKJ1" s="235"/>
      <c r="JKK1" s="235"/>
      <c r="JKL1" s="235"/>
      <c r="JKM1" s="235"/>
      <c r="JKN1" s="235"/>
      <c r="JKO1" s="235"/>
      <c r="JKP1" s="235"/>
      <c r="JKQ1" s="235"/>
      <c r="JKR1" s="235"/>
      <c r="JKS1" s="235"/>
      <c r="JKT1" s="235"/>
      <c r="JKU1" s="235"/>
      <c r="JKV1" s="235"/>
      <c r="JKW1" s="235"/>
      <c r="JKX1" s="235"/>
      <c r="JKY1" s="235"/>
      <c r="JKZ1" s="235"/>
      <c r="JLA1" s="235"/>
      <c r="JLB1" s="235"/>
      <c r="JLC1" s="235"/>
      <c r="JLD1" s="235"/>
      <c r="JLE1" s="235"/>
      <c r="JLF1" s="235"/>
      <c r="JLG1" s="235"/>
      <c r="JLH1" s="235"/>
      <c r="JLI1" s="235"/>
      <c r="JLJ1" s="235"/>
      <c r="JLK1" s="235"/>
      <c r="JLL1" s="235"/>
      <c r="JLM1" s="235"/>
      <c r="JLN1" s="235"/>
      <c r="JLO1" s="235"/>
      <c r="JLP1" s="235"/>
      <c r="JLQ1" s="235"/>
      <c r="JLR1" s="235"/>
      <c r="JLS1" s="235"/>
      <c r="JLT1" s="235"/>
      <c r="JLU1" s="235"/>
      <c r="JLV1" s="235"/>
      <c r="JLW1" s="235"/>
      <c r="JLX1" s="235"/>
      <c r="JLY1" s="235"/>
      <c r="JLZ1" s="235"/>
      <c r="JMA1" s="235"/>
      <c r="JMB1" s="235"/>
      <c r="JMC1" s="235"/>
      <c r="JMD1" s="235"/>
      <c r="JME1" s="235"/>
      <c r="JMF1" s="235"/>
      <c r="JMG1" s="235"/>
      <c r="JMH1" s="235"/>
      <c r="JMI1" s="235"/>
      <c r="JMJ1" s="235"/>
      <c r="JMK1" s="235"/>
      <c r="JML1" s="235"/>
      <c r="JMM1" s="235"/>
      <c r="JMN1" s="235"/>
      <c r="JMO1" s="235"/>
      <c r="JMP1" s="235"/>
      <c r="JMQ1" s="235"/>
      <c r="JMR1" s="235"/>
      <c r="JMS1" s="235"/>
      <c r="JMT1" s="235"/>
      <c r="JMU1" s="235"/>
      <c r="JMV1" s="235"/>
      <c r="JMW1" s="235"/>
      <c r="JMX1" s="235"/>
      <c r="JMY1" s="235"/>
      <c r="JMZ1" s="235"/>
      <c r="JNA1" s="235"/>
      <c r="JNB1" s="235"/>
      <c r="JNC1" s="235"/>
      <c r="JND1" s="235"/>
      <c r="JNE1" s="235"/>
      <c r="JNF1" s="235"/>
      <c r="JNG1" s="235"/>
      <c r="JNH1" s="235"/>
      <c r="JNI1" s="235"/>
      <c r="JNJ1" s="235"/>
      <c r="JNK1" s="235"/>
      <c r="JNL1" s="235"/>
      <c r="JNM1" s="235"/>
      <c r="JNN1" s="235"/>
      <c r="JNO1" s="235"/>
      <c r="JNP1" s="235"/>
      <c r="JNQ1" s="235"/>
      <c r="JNR1" s="235"/>
      <c r="JNS1" s="235"/>
      <c r="JNT1" s="235"/>
      <c r="JNU1" s="235"/>
      <c r="JNV1" s="235"/>
      <c r="JNW1" s="235"/>
      <c r="JNX1" s="235"/>
      <c r="JNY1" s="235"/>
      <c r="JNZ1" s="235"/>
      <c r="JOA1" s="235"/>
      <c r="JOB1" s="235"/>
      <c r="JOC1" s="235"/>
      <c r="JOD1" s="235"/>
      <c r="JOE1" s="235"/>
      <c r="JOF1" s="235"/>
      <c r="JOG1" s="235"/>
      <c r="JOH1" s="235"/>
      <c r="JOI1" s="235"/>
      <c r="JOJ1" s="235"/>
      <c r="JOK1" s="235"/>
      <c r="JOL1" s="235"/>
      <c r="JOM1" s="235"/>
      <c r="JON1" s="235"/>
      <c r="JOO1" s="235"/>
      <c r="JOP1" s="235"/>
      <c r="JOQ1" s="235"/>
      <c r="JOR1" s="235"/>
      <c r="JOS1" s="235"/>
      <c r="JOT1" s="235"/>
      <c r="JOU1" s="235"/>
      <c r="JOV1" s="235"/>
      <c r="JOW1" s="235"/>
      <c r="JOX1" s="235"/>
      <c r="JOY1" s="235"/>
      <c r="JOZ1" s="235"/>
      <c r="JPA1" s="235"/>
      <c r="JPB1" s="235"/>
      <c r="JPC1" s="235"/>
      <c r="JPD1" s="235"/>
      <c r="JPE1" s="235"/>
      <c r="JPF1" s="235"/>
      <c r="JPG1" s="235"/>
      <c r="JPH1" s="235"/>
      <c r="JPI1" s="235"/>
      <c r="JPJ1" s="235"/>
      <c r="JPK1" s="235"/>
      <c r="JPL1" s="235"/>
      <c r="JPM1" s="235"/>
      <c r="JPN1" s="235"/>
      <c r="JPO1" s="235"/>
      <c r="JPP1" s="235"/>
      <c r="JPQ1" s="235"/>
      <c r="JPR1" s="235"/>
      <c r="JPS1" s="235"/>
      <c r="JPT1" s="235"/>
      <c r="JPU1" s="235"/>
      <c r="JPV1" s="235"/>
      <c r="JPW1" s="235"/>
      <c r="JPX1" s="235"/>
      <c r="JPY1" s="235"/>
      <c r="JPZ1" s="235"/>
      <c r="JQA1" s="235"/>
      <c r="JQB1" s="235"/>
      <c r="JQC1" s="235"/>
      <c r="JQD1" s="235"/>
      <c r="JQE1" s="235"/>
      <c r="JQF1" s="235"/>
      <c r="JQG1" s="235"/>
      <c r="JQH1" s="235"/>
      <c r="JQI1" s="235"/>
      <c r="JQJ1" s="235"/>
      <c r="JQK1" s="235"/>
      <c r="JQL1" s="235"/>
      <c r="JQM1" s="235"/>
      <c r="JQN1" s="235"/>
      <c r="JQO1" s="235"/>
      <c r="JQP1" s="235"/>
      <c r="JQQ1" s="235"/>
      <c r="JQR1" s="235"/>
      <c r="JQS1" s="235"/>
      <c r="JQT1" s="235"/>
      <c r="JQU1" s="235"/>
      <c r="JQV1" s="235"/>
      <c r="JQW1" s="235"/>
      <c r="JQX1" s="235"/>
      <c r="JQY1" s="235"/>
      <c r="JQZ1" s="235"/>
      <c r="JRA1" s="235"/>
      <c r="JRB1" s="235"/>
      <c r="JRC1" s="235"/>
      <c r="JRD1" s="235"/>
      <c r="JRE1" s="235"/>
      <c r="JRF1" s="235"/>
      <c r="JRG1" s="235"/>
      <c r="JRH1" s="235"/>
      <c r="JRI1" s="235"/>
      <c r="JRJ1" s="235"/>
      <c r="JRK1" s="235"/>
      <c r="JRL1" s="235"/>
      <c r="JRM1" s="235"/>
      <c r="JRN1" s="235"/>
      <c r="JRO1" s="235"/>
      <c r="JRP1" s="235"/>
      <c r="JRQ1" s="235"/>
      <c r="JRR1" s="235"/>
      <c r="JRS1" s="235"/>
      <c r="JRT1" s="235"/>
      <c r="JRU1" s="235"/>
      <c r="JRV1" s="235"/>
      <c r="JRW1" s="235"/>
      <c r="JRX1" s="235"/>
      <c r="JRY1" s="235"/>
      <c r="JRZ1" s="235"/>
      <c r="JSA1" s="235"/>
      <c r="JSB1" s="235"/>
      <c r="JSC1" s="235"/>
      <c r="JSD1" s="235"/>
      <c r="JSE1" s="235"/>
      <c r="JSF1" s="235"/>
      <c r="JSG1" s="235"/>
      <c r="JSH1" s="235"/>
      <c r="JSI1" s="235"/>
      <c r="JSJ1" s="235"/>
      <c r="JSK1" s="235"/>
      <c r="JSL1" s="235"/>
      <c r="JSM1" s="235"/>
      <c r="JSN1" s="235"/>
      <c r="JSO1" s="235"/>
      <c r="JSP1" s="235"/>
      <c r="JSQ1" s="235"/>
      <c r="JSR1" s="235"/>
      <c r="JSS1" s="235"/>
      <c r="JST1" s="235"/>
      <c r="JSU1" s="235"/>
      <c r="JSV1" s="235"/>
      <c r="JSW1" s="235"/>
      <c r="JSX1" s="235"/>
      <c r="JSY1" s="235"/>
      <c r="JSZ1" s="235"/>
      <c r="JTA1" s="235"/>
      <c r="JTB1" s="235"/>
      <c r="JTC1" s="235"/>
      <c r="JTD1" s="235"/>
      <c r="JTE1" s="235"/>
      <c r="JTF1" s="235"/>
      <c r="JTG1" s="235"/>
      <c r="JTH1" s="235"/>
      <c r="JTI1" s="235"/>
      <c r="JTJ1" s="235"/>
      <c r="JTK1" s="235"/>
      <c r="JTL1" s="235"/>
      <c r="JTM1" s="235"/>
      <c r="JTN1" s="235"/>
      <c r="JTO1" s="235"/>
      <c r="JTP1" s="235"/>
      <c r="JTQ1" s="235"/>
      <c r="JTR1" s="235"/>
      <c r="JTS1" s="235"/>
      <c r="JTT1" s="235"/>
      <c r="JTU1" s="235"/>
      <c r="JTV1" s="235"/>
      <c r="JTW1" s="235"/>
      <c r="JTX1" s="235"/>
      <c r="JTY1" s="235"/>
      <c r="JTZ1" s="235"/>
      <c r="JUA1" s="235"/>
      <c r="JUB1" s="235"/>
      <c r="JUC1" s="235"/>
      <c r="JUD1" s="235"/>
      <c r="JUE1" s="235"/>
      <c r="JUF1" s="235"/>
      <c r="JUG1" s="235"/>
      <c r="JUH1" s="235"/>
      <c r="JUI1" s="235"/>
      <c r="JUJ1" s="235"/>
      <c r="JUK1" s="235"/>
      <c r="JUL1" s="235"/>
      <c r="JUM1" s="235"/>
      <c r="JUN1" s="235"/>
      <c r="JUO1" s="235"/>
      <c r="JUP1" s="235"/>
      <c r="JUQ1" s="235"/>
      <c r="JUR1" s="235"/>
      <c r="JUS1" s="235"/>
      <c r="JUT1" s="235"/>
      <c r="JUU1" s="235"/>
      <c r="JUV1" s="235"/>
      <c r="JUW1" s="235"/>
      <c r="JUX1" s="235"/>
      <c r="JUY1" s="235"/>
      <c r="JUZ1" s="235"/>
      <c r="JVA1" s="235"/>
      <c r="JVB1" s="235"/>
      <c r="JVC1" s="235"/>
      <c r="JVD1" s="235"/>
      <c r="JVE1" s="235"/>
      <c r="JVF1" s="235"/>
      <c r="JVG1" s="235"/>
      <c r="JVH1" s="235"/>
      <c r="JVI1" s="235"/>
      <c r="JVJ1" s="235"/>
      <c r="JVK1" s="235"/>
      <c r="JVL1" s="235"/>
      <c r="JVM1" s="235"/>
      <c r="JVN1" s="235"/>
      <c r="JVO1" s="235"/>
      <c r="JVP1" s="235"/>
      <c r="JVQ1" s="235"/>
      <c r="JVR1" s="235"/>
      <c r="JVS1" s="235"/>
      <c r="JVT1" s="235"/>
      <c r="JVU1" s="235"/>
      <c r="JVV1" s="235"/>
      <c r="JVW1" s="235"/>
      <c r="JVX1" s="235"/>
      <c r="JVY1" s="235"/>
      <c r="JVZ1" s="235"/>
      <c r="JWA1" s="235"/>
      <c r="JWB1" s="235"/>
      <c r="JWC1" s="235"/>
      <c r="JWD1" s="235"/>
      <c r="JWE1" s="235"/>
      <c r="JWF1" s="235"/>
      <c r="JWG1" s="235"/>
      <c r="JWH1" s="235"/>
      <c r="JWI1" s="235"/>
      <c r="JWJ1" s="235"/>
      <c r="JWK1" s="235"/>
      <c r="JWL1" s="235"/>
      <c r="JWM1" s="235"/>
      <c r="JWN1" s="235"/>
      <c r="JWO1" s="235"/>
      <c r="JWP1" s="235"/>
      <c r="JWQ1" s="235"/>
      <c r="JWR1" s="235"/>
      <c r="JWS1" s="235"/>
      <c r="JWT1" s="235"/>
      <c r="JWU1" s="235"/>
      <c r="JWV1" s="235"/>
      <c r="JWW1" s="235"/>
      <c r="JWX1" s="235"/>
      <c r="JWY1" s="235"/>
      <c r="JWZ1" s="235"/>
      <c r="JXA1" s="235"/>
      <c r="JXB1" s="235"/>
      <c r="JXC1" s="235"/>
      <c r="JXD1" s="235"/>
      <c r="JXE1" s="235"/>
      <c r="JXF1" s="235"/>
      <c r="JXG1" s="235"/>
      <c r="JXH1" s="235"/>
      <c r="JXI1" s="235"/>
      <c r="JXJ1" s="235"/>
      <c r="JXK1" s="235"/>
      <c r="JXL1" s="235"/>
      <c r="JXM1" s="235"/>
      <c r="JXN1" s="235"/>
      <c r="JXO1" s="235"/>
      <c r="JXP1" s="235"/>
      <c r="JXQ1" s="235"/>
      <c r="JXR1" s="235"/>
      <c r="JXS1" s="235"/>
      <c r="JXT1" s="235"/>
      <c r="JXU1" s="235"/>
      <c r="JXV1" s="235"/>
      <c r="JXW1" s="235"/>
      <c r="JXX1" s="235"/>
      <c r="JXY1" s="235"/>
      <c r="JXZ1" s="235"/>
      <c r="JYA1" s="235"/>
      <c r="JYB1" s="235"/>
      <c r="JYC1" s="235"/>
      <c r="JYD1" s="235"/>
      <c r="JYE1" s="235"/>
      <c r="JYF1" s="235"/>
      <c r="JYG1" s="235"/>
      <c r="JYH1" s="235"/>
      <c r="JYI1" s="235"/>
      <c r="JYJ1" s="235"/>
      <c r="JYK1" s="235"/>
      <c r="JYL1" s="235"/>
      <c r="JYM1" s="235"/>
      <c r="JYN1" s="235"/>
      <c r="JYO1" s="235"/>
      <c r="JYP1" s="235"/>
      <c r="JYQ1" s="235"/>
      <c r="JYR1" s="235"/>
      <c r="JYS1" s="235"/>
      <c r="JYT1" s="235"/>
      <c r="JYU1" s="235"/>
      <c r="JYV1" s="235"/>
      <c r="JYW1" s="235"/>
      <c r="JYX1" s="235"/>
      <c r="JYY1" s="235"/>
      <c r="JYZ1" s="235"/>
      <c r="JZA1" s="235"/>
      <c r="JZB1" s="235"/>
      <c r="JZC1" s="235"/>
      <c r="JZD1" s="235"/>
      <c r="JZE1" s="235"/>
      <c r="JZF1" s="235"/>
      <c r="JZG1" s="235"/>
      <c r="JZH1" s="235"/>
      <c r="JZI1" s="235"/>
      <c r="JZJ1" s="235"/>
      <c r="JZK1" s="235"/>
      <c r="JZL1" s="235"/>
      <c r="JZM1" s="235"/>
      <c r="JZN1" s="235"/>
      <c r="JZO1" s="235"/>
      <c r="JZP1" s="235"/>
      <c r="JZQ1" s="235"/>
      <c r="JZR1" s="235"/>
      <c r="JZS1" s="235"/>
      <c r="JZT1" s="235"/>
      <c r="JZU1" s="235"/>
      <c r="JZV1" s="235"/>
      <c r="JZW1" s="235"/>
      <c r="JZX1" s="235"/>
      <c r="JZY1" s="235"/>
      <c r="JZZ1" s="235"/>
      <c r="KAA1" s="235"/>
      <c r="KAB1" s="235"/>
      <c r="KAC1" s="235"/>
      <c r="KAD1" s="235"/>
      <c r="KAE1" s="235"/>
      <c r="KAF1" s="235"/>
      <c r="KAG1" s="235"/>
      <c r="KAH1" s="235"/>
      <c r="KAI1" s="235"/>
      <c r="KAJ1" s="235"/>
      <c r="KAK1" s="235"/>
      <c r="KAL1" s="235"/>
      <c r="KAM1" s="235"/>
      <c r="KAN1" s="235"/>
      <c r="KAO1" s="235"/>
      <c r="KAP1" s="235"/>
      <c r="KAQ1" s="235"/>
      <c r="KAR1" s="235"/>
      <c r="KAS1" s="235"/>
      <c r="KAT1" s="235"/>
      <c r="KAU1" s="235"/>
      <c r="KAV1" s="235"/>
      <c r="KAW1" s="235"/>
      <c r="KAX1" s="235"/>
      <c r="KAY1" s="235"/>
      <c r="KAZ1" s="235"/>
      <c r="KBA1" s="235"/>
      <c r="KBB1" s="235"/>
      <c r="KBC1" s="235"/>
      <c r="KBD1" s="235"/>
      <c r="KBE1" s="235"/>
      <c r="KBF1" s="235"/>
      <c r="KBG1" s="235"/>
      <c r="KBH1" s="235"/>
      <c r="KBI1" s="235"/>
      <c r="KBJ1" s="235"/>
      <c r="KBK1" s="235"/>
      <c r="KBL1" s="235"/>
      <c r="KBM1" s="235"/>
      <c r="KBN1" s="235"/>
      <c r="KBO1" s="235"/>
      <c r="KBP1" s="235"/>
      <c r="KBQ1" s="235"/>
      <c r="KBR1" s="235"/>
      <c r="KBS1" s="235"/>
      <c r="KBT1" s="235"/>
      <c r="KBU1" s="235"/>
      <c r="KBV1" s="235"/>
      <c r="KBW1" s="235"/>
      <c r="KBX1" s="235"/>
      <c r="KBY1" s="235"/>
      <c r="KBZ1" s="235"/>
      <c r="KCA1" s="235"/>
      <c r="KCB1" s="235"/>
      <c r="KCC1" s="235"/>
      <c r="KCD1" s="235"/>
      <c r="KCE1" s="235"/>
      <c r="KCF1" s="235"/>
      <c r="KCG1" s="235"/>
      <c r="KCH1" s="235"/>
      <c r="KCI1" s="235"/>
      <c r="KCJ1" s="235"/>
      <c r="KCK1" s="235"/>
      <c r="KCL1" s="235"/>
      <c r="KCM1" s="235"/>
      <c r="KCN1" s="235"/>
      <c r="KCO1" s="235"/>
      <c r="KCP1" s="235"/>
      <c r="KCQ1" s="235"/>
      <c r="KCR1" s="235"/>
      <c r="KCS1" s="235"/>
      <c r="KCT1" s="235"/>
      <c r="KCU1" s="235"/>
      <c r="KCV1" s="235"/>
      <c r="KCW1" s="235"/>
      <c r="KCX1" s="235"/>
      <c r="KCY1" s="235"/>
      <c r="KCZ1" s="235"/>
      <c r="KDA1" s="235"/>
      <c r="KDB1" s="235"/>
      <c r="KDC1" s="235"/>
      <c r="KDD1" s="235"/>
      <c r="KDE1" s="235"/>
      <c r="KDF1" s="235"/>
      <c r="KDG1" s="235"/>
      <c r="KDH1" s="235"/>
      <c r="KDI1" s="235"/>
      <c r="KDJ1" s="235"/>
      <c r="KDK1" s="235"/>
      <c r="KDL1" s="235"/>
      <c r="KDM1" s="235"/>
      <c r="KDN1" s="235"/>
      <c r="KDO1" s="235"/>
      <c r="KDP1" s="235"/>
      <c r="KDQ1" s="235"/>
      <c r="KDR1" s="235"/>
      <c r="KDS1" s="235"/>
      <c r="KDT1" s="235"/>
      <c r="KDU1" s="235"/>
      <c r="KDV1" s="235"/>
      <c r="KDW1" s="235"/>
      <c r="KDX1" s="235"/>
      <c r="KDY1" s="235"/>
      <c r="KDZ1" s="235"/>
      <c r="KEA1" s="235"/>
      <c r="KEB1" s="235"/>
      <c r="KEC1" s="235"/>
      <c r="KED1" s="235"/>
      <c r="KEE1" s="235"/>
      <c r="KEF1" s="235"/>
      <c r="KEG1" s="235"/>
      <c r="KEH1" s="235"/>
      <c r="KEI1" s="235"/>
      <c r="KEJ1" s="235"/>
      <c r="KEK1" s="235"/>
      <c r="KEL1" s="235"/>
      <c r="KEM1" s="235"/>
      <c r="KEN1" s="235"/>
      <c r="KEO1" s="235"/>
      <c r="KEP1" s="235"/>
      <c r="KEQ1" s="235"/>
      <c r="KER1" s="235"/>
      <c r="KES1" s="235"/>
      <c r="KET1" s="235"/>
      <c r="KEU1" s="235"/>
      <c r="KEV1" s="235"/>
      <c r="KEW1" s="235"/>
      <c r="KEX1" s="235"/>
      <c r="KEY1" s="235"/>
      <c r="KEZ1" s="235"/>
      <c r="KFA1" s="235"/>
      <c r="KFB1" s="235"/>
      <c r="KFC1" s="235"/>
      <c r="KFD1" s="235"/>
      <c r="KFE1" s="235"/>
      <c r="KFF1" s="235"/>
      <c r="KFG1" s="235"/>
      <c r="KFH1" s="235"/>
      <c r="KFI1" s="235"/>
      <c r="KFJ1" s="235"/>
      <c r="KFK1" s="235"/>
      <c r="KFL1" s="235"/>
      <c r="KFM1" s="235"/>
      <c r="KFN1" s="235"/>
      <c r="KFO1" s="235"/>
      <c r="KFP1" s="235"/>
      <c r="KFQ1" s="235"/>
      <c r="KFR1" s="235"/>
      <c r="KFS1" s="235"/>
      <c r="KFT1" s="235"/>
      <c r="KFU1" s="235"/>
      <c r="KFV1" s="235"/>
      <c r="KFW1" s="235"/>
      <c r="KFX1" s="235"/>
      <c r="KFY1" s="235"/>
      <c r="KFZ1" s="235"/>
      <c r="KGA1" s="235"/>
      <c r="KGB1" s="235"/>
      <c r="KGC1" s="235"/>
      <c r="KGD1" s="235"/>
      <c r="KGE1" s="235"/>
      <c r="KGF1" s="235"/>
      <c r="KGG1" s="235"/>
      <c r="KGH1" s="235"/>
      <c r="KGI1" s="235"/>
      <c r="KGJ1" s="235"/>
      <c r="KGK1" s="235"/>
      <c r="KGL1" s="235"/>
      <c r="KGM1" s="235"/>
      <c r="KGN1" s="235"/>
      <c r="KGO1" s="235"/>
      <c r="KGP1" s="235"/>
      <c r="KGQ1" s="235"/>
      <c r="KGR1" s="235"/>
      <c r="KGS1" s="235"/>
      <c r="KGT1" s="235"/>
      <c r="KGU1" s="235"/>
      <c r="KGV1" s="235"/>
      <c r="KGW1" s="235"/>
      <c r="KGX1" s="235"/>
      <c r="KGY1" s="235"/>
      <c r="KGZ1" s="235"/>
      <c r="KHA1" s="235"/>
      <c r="KHB1" s="235"/>
      <c r="KHC1" s="235"/>
      <c r="KHD1" s="235"/>
      <c r="KHE1" s="235"/>
      <c r="KHF1" s="235"/>
      <c r="KHG1" s="235"/>
      <c r="KHH1" s="235"/>
      <c r="KHI1" s="235"/>
      <c r="KHJ1" s="235"/>
      <c r="KHK1" s="235"/>
      <c r="KHL1" s="235"/>
      <c r="KHM1" s="235"/>
      <c r="KHN1" s="235"/>
      <c r="KHO1" s="235"/>
      <c r="KHP1" s="235"/>
      <c r="KHQ1" s="235"/>
      <c r="KHR1" s="235"/>
      <c r="KHS1" s="235"/>
      <c r="KHT1" s="235"/>
      <c r="KHU1" s="235"/>
      <c r="KHV1" s="235"/>
      <c r="KHW1" s="235"/>
      <c r="KHX1" s="235"/>
      <c r="KHY1" s="235"/>
      <c r="KHZ1" s="235"/>
      <c r="KIA1" s="235"/>
      <c r="KIB1" s="235"/>
      <c r="KIC1" s="235"/>
      <c r="KID1" s="235"/>
      <c r="KIE1" s="235"/>
      <c r="KIF1" s="235"/>
      <c r="KIG1" s="235"/>
      <c r="KIH1" s="235"/>
      <c r="KII1" s="235"/>
      <c r="KIJ1" s="235"/>
      <c r="KIK1" s="235"/>
      <c r="KIL1" s="235"/>
      <c r="KIM1" s="235"/>
      <c r="KIN1" s="235"/>
      <c r="KIO1" s="235"/>
      <c r="KIP1" s="235"/>
      <c r="KIQ1" s="235"/>
      <c r="KIR1" s="235"/>
      <c r="KIS1" s="235"/>
      <c r="KIT1" s="235"/>
      <c r="KIU1" s="235"/>
      <c r="KIV1" s="235"/>
      <c r="KIW1" s="235"/>
      <c r="KIX1" s="235"/>
      <c r="KIY1" s="235"/>
      <c r="KIZ1" s="235"/>
      <c r="KJA1" s="235"/>
      <c r="KJB1" s="235"/>
      <c r="KJC1" s="235"/>
      <c r="KJD1" s="235"/>
      <c r="KJE1" s="235"/>
      <c r="KJF1" s="235"/>
      <c r="KJG1" s="235"/>
      <c r="KJH1" s="235"/>
      <c r="KJI1" s="235"/>
      <c r="KJJ1" s="235"/>
      <c r="KJK1" s="235"/>
      <c r="KJL1" s="235"/>
      <c r="KJM1" s="235"/>
      <c r="KJN1" s="235"/>
      <c r="KJO1" s="235"/>
      <c r="KJP1" s="235"/>
      <c r="KJQ1" s="235"/>
      <c r="KJR1" s="235"/>
      <c r="KJS1" s="235"/>
      <c r="KJT1" s="235"/>
      <c r="KJU1" s="235"/>
      <c r="KJV1" s="235"/>
      <c r="KJW1" s="235"/>
      <c r="KJX1" s="235"/>
      <c r="KJY1" s="235"/>
      <c r="KJZ1" s="235"/>
      <c r="KKA1" s="235"/>
      <c r="KKB1" s="235"/>
      <c r="KKC1" s="235"/>
      <c r="KKD1" s="235"/>
      <c r="KKE1" s="235"/>
      <c r="KKF1" s="235"/>
      <c r="KKG1" s="235"/>
      <c r="KKH1" s="235"/>
      <c r="KKI1" s="235"/>
      <c r="KKJ1" s="235"/>
      <c r="KKK1" s="235"/>
      <c r="KKL1" s="235"/>
      <c r="KKM1" s="235"/>
      <c r="KKN1" s="235"/>
      <c r="KKO1" s="235"/>
      <c r="KKP1" s="235"/>
      <c r="KKQ1" s="235"/>
      <c r="KKR1" s="235"/>
      <c r="KKS1" s="235"/>
      <c r="KKT1" s="235"/>
      <c r="KKU1" s="235"/>
      <c r="KKV1" s="235"/>
      <c r="KKW1" s="235"/>
      <c r="KKX1" s="235"/>
      <c r="KKY1" s="235"/>
      <c r="KKZ1" s="235"/>
      <c r="KLA1" s="235"/>
      <c r="KLB1" s="235"/>
      <c r="KLC1" s="235"/>
      <c r="KLD1" s="235"/>
      <c r="KLE1" s="235"/>
      <c r="KLF1" s="235"/>
      <c r="KLG1" s="235"/>
      <c r="KLH1" s="235"/>
      <c r="KLI1" s="235"/>
      <c r="KLJ1" s="235"/>
      <c r="KLK1" s="235"/>
      <c r="KLL1" s="235"/>
      <c r="KLM1" s="235"/>
      <c r="KLN1" s="235"/>
      <c r="KLO1" s="235"/>
      <c r="KLP1" s="235"/>
      <c r="KLQ1" s="235"/>
      <c r="KLR1" s="235"/>
      <c r="KLS1" s="235"/>
      <c r="KLT1" s="235"/>
      <c r="KLU1" s="235"/>
      <c r="KLV1" s="235"/>
      <c r="KLW1" s="235"/>
      <c r="KLX1" s="235"/>
      <c r="KLY1" s="235"/>
      <c r="KLZ1" s="235"/>
      <c r="KMA1" s="235"/>
      <c r="KMB1" s="235"/>
      <c r="KMC1" s="235"/>
      <c r="KMD1" s="235"/>
      <c r="KME1" s="235"/>
      <c r="KMF1" s="235"/>
      <c r="KMG1" s="235"/>
      <c r="KMH1" s="235"/>
      <c r="KMI1" s="235"/>
      <c r="KMJ1" s="235"/>
      <c r="KMK1" s="235"/>
      <c r="KML1" s="235"/>
      <c r="KMM1" s="235"/>
      <c r="KMN1" s="235"/>
      <c r="KMO1" s="235"/>
      <c r="KMP1" s="235"/>
      <c r="KMQ1" s="235"/>
      <c r="KMR1" s="235"/>
      <c r="KMS1" s="235"/>
      <c r="KMT1" s="235"/>
      <c r="KMU1" s="235"/>
      <c r="KMV1" s="235"/>
      <c r="KMW1" s="235"/>
      <c r="KMX1" s="235"/>
      <c r="KMY1" s="235"/>
      <c r="KMZ1" s="235"/>
      <c r="KNA1" s="235"/>
      <c r="KNB1" s="235"/>
      <c r="KNC1" s="235"/>
      <c r="KND1" s="235"/>
      <c r="KNE1" s="235"/>
      <c r="KNF1" s="235"/>
      <c r="KNG1" s="235"/>
      <c r="KNH1" s="235"/>
      <c r="KNI1" s="235"/>
      <c r="KNJ1" s="235"/>
      <c r="KNK1" s="235"/>
      <c r="KNL1" s="235"/>
      <c r="KNM1" s="235"/>
      <c r="KNN1" s="235"/>
      <c r="KNO1" s="235"/>
      <c r="KNP1" s="235"/>
      <c r="KNQ1" s="235"/>
      <c r="KNR1" s="235"/>
      <c r="KNS1" s="235"/>
      <c r="KNT1" s="235"/>
      <c r="KNU1" s="235"/>
      <c r="KNV1" s="235"/>
      <c r="KNW1" s="235"/>
      <c r="KNX1" s="235"/>
      <c r="KNY1" s="235"/>
      <c r="KNZ1" s="235"/>
      <c r="KOA1" s="235"/>
      <c r="KOB1" s="235"/>
      <c r="KOC1" s="235"/>
      <c r="KOD1" s="235"/>
      <c r="KOE1" s="235"/>
      <c r="KOF1" s="235"/>
      <c r="KOG1" s="235"/>
      <c r="KOH1" s="235"/>
      <c r="KOI1" s="235"/>
      <c r="KOJ1" s="235"/>
      <c r="KOK1" s="235"/>
      <c r="KOL1" s="235"/>
      <c r="KOM1" s="235"/>
      <c r="KON1" s="235"/>
      <c r="KOO1" s="235"/>
      <c r="KOP1" s="235"/>
      <c r="KOQ1" s="235"/>
      <c r="KOR1" s="235"/>
      <c r="KOS1" s="235"/>
      <c r="KOT1" s="235"/>
      <c r="KOU1" s="235"/>
      <c r="KOV1" s="235"/>
      <c r="KOW1" s="235"/>
      <c r="KOX1" s="235"/>
      <c r="KOY1" s="235"/>
      <c r="KOZ1" s="235"/>
      <c r="KPA1" s="235"/>
      <c r="KPB1" s="235"/>
      <c r="KPC1" s="235"/>
      <c r="KPD1" s="235"/>
      <c r="KPE1" s="235"/>
      <c r="KPF1" s="235"/>
      <c r="KPG1" s="235"/>
      <c r="KPH1" s="235"/>
      <c r="KPI1" s="235"/>
      <c r="KPJ1" s="235"/>
      <c r="KPK1" s="235"/>
      <c r="KPL1" s="235"/>
      <c r="KPM1" s="235"/>
      <c r="KPN1" s="235"/>
      <c r="KPO1" s="235"/>
      <c r="KPP1" s="235"/>
      <c r="KPQ1" s="235"/>
      <c r="KPR1" s="235"/>
      <c r="KPS1" s="235"/>
      <c r="KPT1" s="235"/>
      <c r="KPU1" s="235"/>
      <c r="KPV1" s="235"/>
      <c r="KPW1" s="235"/>
      <c r="KPX1" s="235"/>
      <c r="KPY1" s="235"/>
      <c r="KPZ1" s="235"/>
      <c r="KQA1" s="235"/>
      <c r="KQB1" s="235"/>
      <c r="KQC1" s="235"/>
      <c r="KQD1" s="235"/>
      <c r="KQE1" s="235"/>
      <c r="KQF1" s="235"/>
      <c r="KQG1" s="235"/>
      <c r="KQH1" s="235"/>
      <c r="KQI1" s="235"/>
      <c r="KQJ1" s="235"/>
      <c r="KQK1" s="235"/>
      <c r="KQL1" s="235"/>
      <c r="KQM1" s="235"/>
      <c r="KQN1" s="235"/>
      <c r="KQO1" s="235"/>
      <c r="KQP1" s="235"/>
      <c r="KQQ1" s="235"/>
      <c r="KQR1" s="235"/>
      <c r="KQS1" s="235"/>
      <c r="KQT1" s="235"/>
      <c r="KQU1" s="235"/>
      <c r="KQV1" s="235"/>
      <c r="KQW1" s="235"/>
      <c r="KQX1" s="235"/>
      <c r="KQY1" s="235"/>
      <c r="KQZ1" s="235"/>
      <c r="KRA1" s="235"/>
      <c r="KRB1" s="235"/>
      <c r="KRC1" s="235"/>
      <c r="KRD1" s="235"/>
      <c r="KRE1" s="235"/>
      <c r="KRF1" s="235"/>
      <c r="KRG1" s="235"/>
      <c r="KRH1" s="235"/>
      <c r="KRI1" s="235"/>
      <c r="KRJ1" s="235"/>
      <c r="KRK1" s="235"/>
      <c r="KRL1" s="235"/>
      <c r="KRM1" s="235"/>
      <c r="KRN1" s="235"/>
      <c r="KRO1" s="235"/>
      <c r="KRP1" s="235"/>
      <c r="KRQ1" s="235"/>
      <c r="KRR1" s="235"/>
      <c r="KRS1" s="235"/>
      <c r="KRT1" s="235"/>
      <c r="KRU1" s="235"/>
      <c r="KRV1" s="235"/>
      <c r="KRW1" s="235"/>
      <c r="KRX1" s="235"/>
      <c r="KRY1" s="235"/>
      <c r="KRZ1" s="235"/>
      <c r="KSA1" s="235"/>
      <c r="KSB1" s="235"/>
      <c r="KSC1" s="235"/>
      <c r="KSD1" s="235"/>
      <c r="KSE1" s="235"/>
      <c r="KSF1" s="235"/>
      <c r="KSG1" s="235"/>
      <c r="KSH1" s="235"/>
      <c r="KSI1" s="235"/>
      <c r="KSJ1" s="235"/>
      <c r="KSK1" s="235"/>
      <c r="KSL1" s="235"/>
      <c r="KSM1" s="235"/>
      <c r="KSN1" s="235"/>
      <c r="KSO1" s="235"/>
      <c r="KSP1" s="235"/>
      <c r="KSQ1" s="235"/>
      <c r="KSR1" s="235"/>
      <c r="KSS1" s="235"/>
      <c r="KST1" s="235"/>
      <c r="KSU1" s="235"/>
      <c r="KSV1" s="235"/>
      <c r="KSW1" s="235"/>
      <c r="KSX1" s="235"/>
      <c r="KSY1" s="235"/>
      <c r="KSZ1" s="235"/>
      <c r="KTA1" s="235"/>
      <c r="KTB1" s="235"/>
      <c r="KTC1" s="235"/>
      <c r="KTD1" s="235"/>
      <c r="KTE1" s="235"/>
      <c r="KTF1" s="235"/>
      <c r="KTG1" s="235"/>
      <c r="KTH1" s="235"/>
      <c r="KTI1" s="235"/>
      <c r="KTJ1" s="235"/>
      <c r="KTK1" s="235"/>
      <c r="KTL1" s="235"/>
      <c r="KTM1" s="235"/>
      <c r="KTN1" s="235"/>
      <c r="KTO1" s="235"/>
      <c r="KTP1" s="235"/>
      <c r="KTQ1" s="235"/>
      <c r="KTR1" s="235"/>
      <c r="KTS1" s="235"/>
      <c r="KTT1" s="235"/>
      <c r="KTU1" s="235"/>
      <c r="KTV1" s="235"/>
      <c r="KTW1" s="235"/>
      <c r="KTX1" s="235"/>
      <c r="KTY1" s="235"/>
      <c r="KTZ1" s="235"/>
      <c r="KUA1" s="235"/>
      <c r="KUB1" s="235"/>
      <c r="KUC1" s="235"/>
      <c r="KUD1" s="235"/>
      <c r="KUE1" s="235"/>
      <c r="KUF1" s="235"/>
      <c r="KUG1" s="235"/>
      <c r="KUH1" s="235"/>
      <c r="KUI1" s="235"/>
      <c r="KUJ1" s="235"/>
      <c r="KUK1" s="235"/>
      <c r="KUL1" s="235"/>
      <c r="KUM1" s="235"/>
      <c r="KUN1" s="235"/>
      <c r="KUO1" s="235"/>
      <c r="KUP1" s="235"/>
      <c r="KUQ1" s="235"/>
      <c r="KUR1" s="235"/>
      <c r="KUS1" s="235"/>
      <c r="KUT1" s="235"/>
      <c r="KUU1" s="235"/>
      <c r="KUV1" s="235"/>
      <c r="KUW1" s="235"/>
      <c r="KUX1" s="235"/>
      <c r="KUY1" s="235"/>
      <c r="KUZ1" s="235"/>
      <c r="KVA1" s="235"/>
      <c r="KVB1" s="235"/>
      <c r="KVC1" s="235"/>
      <c r="KVD1" s="235"/>
      <c r="KVE1" s="235"/>
      <c r="KVF1" s="235"/>
      <c r="KVG1" s="235"/>
      <c r="KVH1" s="235"/>
      <c r="KVI1" s="235"/>
      <c r="KVJ1" s="235"/>
      <c r="KVK1" s="235"/>
      <c r="KVL1" s="235"/>
      <c r="KVM1" s="235"/>
      <c r="KVN1" s="235"/>
      <c r="KVO1" s="235"/>
      <c r="KVP1" s="235"/>
      <c r="KVQ1" s="235"/>
      <c r="KVR1" s="235"/>
      <c r="KVS1" s="235"/>
      <c r="KVT1" s="235"/>
      <c r="KVU1" s="235"/>
      <c r="KVV1" s="235"/>
      <c r="KVW1" s="235"/>
      <c r="KVX1" s="235"/>
      <c r="KVY1" s="235"/>
      <c r="KVZ1" s="235"/>
      <c r="KWA1" s="235"/>
      <c r="KWB1" s="235"/>
      <c r="KWC1" s="235"/>
      <c r="KWD1" s="235"/>
      <c r="KWE1" s="235"/>
      <c r="KWF1" s="235"/>
      <c r="KWG1" s="235"/>
      <c r="KWH1" s="235"/>
      <c r="KWI1" s="235"/>
      <c r="KWJ1" s="235"/>
      <c r="KWK1" s="235"/>
      <c r="KWL1" s="235"/>
      <c r="KWM1" s="235"/>
      <c r="KWN1" s="235"/>
      <c r="KWO1" s="235"/>
      <c r="KWP1" s="235"/>
      <c r="KWQ1" s="235"/>
      <c r="KWR1" s="235"/>
      <c r="KWS1" s="235"/>
      <c r="KWT1" s="235"/>
      <c r="KWU1" s="235"/>
      <c r="KWV1" s="235"/>
      <c r="KWW1" s="235"/>
      <c r="KWX1" s="235"/>
      <c r="KWY1" s="235"/>
      <c r="KWZ1" s="235"/>
      <c r="KXA1" s="235"/>
      <c r="KXB1" s="235"/>
      <c r="KXC1" s="235"/>
      <c r="KXD1" s="235"/>
      <c r="KXE1" s="235"/>
      <c r="KXF1" s="235"/>
      <c r="KXG1" s="235"/>
      <c r="KXH1" s="235"/>
      <c r="KXI1" s="235"/>
      <c r="KXJ1" s="235"/>
      <c r="KXK1" s="235"/>
      <c r="KXL1" s="235"/>
      <c r="KXM1" s="235"/>
      <c r="KXN1" s="235"/>
      <c r="KXO1" s="235"/>
      <c r="KXP1" s="235"/>
      <c r="KXQ1" s="235"/>
      <c r="KXR1" s="235"/>
      <c r="KXS1" s="235"/>
      <c r="KXT1" s="235"/>
      <c r="KXU1" s="235"/>
      <c r="KXV1" s="235"/>
      <c r="KXW1" s="235"/>
      <c r="KXX1" s="235"/>
      <c r="KXY1" s="235"/>
      <c r="KXZ1" s="235"/>
      <c r="KYA1" s="235"/>
      <c r="KYB1" s="235"/>
      <c r="KYC1" s="235"/>
      <c r="KYD1" s="235"/>
      <c r="KYE1" s="235"/>
      <c r="KYF1" s="235"/>
      <c r="KYG1" s="235"/>
      <c r="KYH1" s="235"/>
      <c r="KYI1" s="235"/>
      <c r="KYJ1" s="235"/>
      <c r="KYK1" s="235"/>
      <c r="KYL1" s="235"/>
      <c r="KYM1" s="235"/>
      <c r="KYN1" s="235"/>
      <c r="KYO1" s="235"/>
      <c r="KYP1" s="235"/>
      <c r="KYQ1" s="235"/>
      <c r="KYR1" s="235"/>
      <c r="KYS1" s="235"/>
      <c r="KYT1" s="235"/>
      <c r="KYU1" s="235"/>
      <c r="KYV1" s="235"/>
      <c r="KYW1" s="235"/>
      <c r="KYX1" s="235"/>
      <c r="KYY1" s="235"/>
      <c r="KYZ1" s="235"/>
      <c r="KZA1" s="235"/>
      <c r="KZB1" s="235"/>
      <c r="KZC1" s="235"/>
      <c r="KZD1" s="235"/>
      <c r="KZE1" s="235"/>
      <c r="KZF1" s="235"/>
      <c r="KZG1" s="235"/>
      <c r="KZH1" s="235"/>
      <c r="KZI1" s="235"/>
      <c r="KZJ1" s="235"/>
      <c r="KZK1" s="235"/>
      <c r="KZL1" s="235"/>
      <c r="KZM1" s="235"/>
      <c r="KZN1" s="235"/>
      <c r="KZO1" s="235"/>
      <c r="KZP1" s="235"/>
      <c r="KZQ1" s="235"/>
      <c r="KZR1" s="235"/>
      <c r="KZS1" s="235"/>
      <c r="KZT1" s="235"/>
      <c r="KZU1" s="235"/>
      <c r="KZV1" s="235"/>
      <c r="KZW1" s="235"/>
      <c r="KZX1" s="235"/>
      <c r="KZY1" s="235"/>
      <c r="KZZ1" s="235"/>
      <c r="LAA1" s="235"/>
      <c r="LAB1" s="235"/>
      <c r="LAC1" s="235"/>
      <c r="LAD1" s="235"/>
      <c r="LAE1" s="235"/>
      <c r="LAF1" s="235"/>
      <c r="LAG1" s="235"/>
      <c r="LAH1" s="235"/>
      <c r="LAI1" s="235"/>
      <c r="LAJ1" s="235"/>
      <c r="LAK1" s="235"/>
      <c r="LAL1" s="235"/>
      <c r="LAM1" s="235"/>
      <c r="LAN1" s="235"/>
      <c r="LAO1" s="235"/>
      <c r="LAP1" s="235"/>
      <c r="LAQ1" s="235"/>
      <c r="LAR1" s="235"/>
      <c r="LAS1" s="235"/>
      <c r="LAT1" s="235"/>
      <c r="LAU1" s="235"/>
      <c r="LAV1" s="235"/>
      <c r="LAW1" s="235"/>
      <c r="LAX1" s="235"/>
      <c r="LAY1" s="235"/>
      <c r="LAZ1" s="235"/>
      <c r="LBA1" s="235"/>
      <c r="LBB1" s="235"/>
      <c r="LBC1" s="235"/>
      <c r="LBD1" s="235"/>
      <c r="LBE1" s="235"/>
      <c r="LBF1" s="235"/>
      <c r="LBG1" s="235"/>
      <c r="LBH1" s="235"/>
      <c r="LBI1" s="235"/>
      <c r="LBJ1" s="235"/>
      <c r="LBK1" s="235"/>
      <c r="LBL1" s="235"/>
      <c r="LBM1" s="235"/>
      <c r="LBN1" s="235"/>
      <c r="LBO1" s="235"/>
      <c r="LBP1" s="235"/>
      <c r="LBQ1" s="235"/>
      <c r="LBR1" s="235"/>
      <c r="LBS1" s="235"/>
      <c r="LBT1" s="235"/>
      <c r="LBU1" s="235"/>
      <c r="LBV1" s="235"/>
      <c r="LBW1" s="235"/>
      <c r="LBX1" s="235"/>
      <c r="LBY1" s="235"/>
      <c r="LBZ1" s="235"/>
      <c r="LCA1" s="235"/>
      <c r="LCB1" s="235"/>
      <c r="LCC1" s="235"/>
      <c r="LCD1" s="235"/>
      <c r="LCE1" s="235"/>
      <c r="LCF1" s="235"/>
      <c r="LCG1" s="235"/>
      <c r="LCH1" s="235"/>
      <c r="LCI1" s="235"/>
      <c r="LCJ1" s="235"/>
      <c r="LCK1" s="235"/>
      <c r="LCL1" s="235"/>
      <c r="LCM1" s="235"/>
      <c r="LCN1" s="235"/>
      <c r="LCO1" s="235"/>
      <c r="LCP1" s="235"/>
      <c r="LCQ1" s="235"/>
      <c r="LCR1" s="235"/>
      <c r="LCS1" s="235"/>
      <c r="LCT1" s="235"/>
      <c r="LCU1" s="235"/>
      <c r="LCV1" s="235"/>
      <c r="LCW1" s="235"/>
      <c r="LCX1" s="235"/>
      <c r="LCY1" s="235"/>
      <c r="LCZ1" s="235"/>
      <c r="LDA1" s="235"/>
      <c r="LDB1" s="235"/>
      <c r="LDC1" s="235"/>
      <c r="LDD1" s="235"/>
      <c r="LDE1" s="235"/>
      <c r="LDF1" s="235"/>
      <c r="LDG1" s="235"/>
      <c r="LDH1" s="235"/>
      <c r="LDI1" s="235"/>
      <c r="LDJ1" s="235"/>
      <c r="LDK1" s="235"/>
      <c r="LDL1" s="235"/>
      <c r="LDM1" s="235"/>
      <c r="LDN1" s="235"/>
      <c r="LDO1" s="235"/>
      <c r="LDP1" s="235"/>
      <c r="LDQ1" s="235"/>
      <c r="LDR1" s="235"/>
      <c r="LDS1" s="235"/>
      <c r="LDT1" s="235"/>
      <c r="LDU1" s="235"/>
      <c r="LDV1" s="235"/>
      <c r="LDW1" s="235"/>
      <c r="LDX1" s="235"/>
      <c r="LDY1" s="235"/>
      <c r="LDZ1" s="235"/>
      <c r="LEA1" s="235"/>
      <c r="LEB1" s="235"/>
      <c r="LEC1" s="235"/>
      <c r="LED1" s="235"/>
      <c r="LEE1" s="235"/>
      <c r="LEF1" s="235"/>
      <c r="LEG1" s="235"/>
      <c r="LEH1" s="235"/>
      <c r="LEI1" s="235"/>
      <c r="LEJ1" s="235"/>
      <c r="LEK1" s="235"/>
      <c r="LEL1" s="235"/>
      <c r="LEM1" s="235"/>
      <c r="LEN1" s="235"/>
      <c r="LEO1" s="235"/>
      <c r="LEP1" s="235"/>
      <c r="LEQ1" s="235"/>
      <c r="LER1" s="235"/>
      <c r="LES1" s="235"/>
      <c r="LET1" s="235"/>
      <c r="LEU1" s="235"/>
      <c r="LEV1" s="235"/>
      <c r="LEW1" s="235"/>
      <c r="LEX1" s="235"/>
      <c r="LEY1" s="235"/>
      <c r="LEZ1" s="235"/>
      <c r="LFA1" s="235"/>
      <c r="LFB1" s="235"/>
      <c r="LFC1" s="235"/>
      <c r="LFD1" s="235"/>
      <c r="LFE1" s="235"/>
      <c r="LFF1" s="235"/>
      <c r="LFG1" s="235"/>
      <c r="LFH1" s="235"/>
      <c r="LFI1" s="235"/>
      <c r="LFJ1" s="235"/>
      <c r="LFK1" s="235"/>
      <c r="LFL1" s="235"/>
      <c r="LFM1" s="235"/>
      <c r="LFN1" s="235"/>
      <c r="LFO1" s="235"/>
      <c r="LFP1" s="235"/>
      <c r="LFQ1" s="235"/>
      <c r="LFR1" s="235"/>
      <c r="LFS1" s="235"/>
      <c r="LFT1" s="235"/>
      <c r="LFU1" s="235"/>
      <c r="LFV1" s="235"/>
      <c r="LFW1" s="235"/>
      <c r="LFX1" s="235"/>
      <c r="LFY1" s="235"/>
      <c r="LFZ1" s="235"/>
      <c r="LGA1" s="235"/>
      <c r="LGB1" s="235"/>
      <c r="LGC1" s="235"/>
      <c r="LGD1" s="235"/>
      <c r="LGE1" s="235"/>
      <c r="LGF1" s="235"/>
      <c r="LGG1" s="235"/>
      <c r="LGH1" s="235"/>
      <c r="LGI1" s="235"/>
      <c r="LGJ1" s="235"/>
      <c r="LGK1" s="235"/>
      <c r="LGL1" s="235"/>
      <c r="LGM1" s="235"/>
      <c r="LGN1" s="235"/>
      <c r="LGO1" s="235"/>
      <c r="LGP1" s="235"/>
      <c r="LGQ1" s="235"/>
      <c r="LGR1" s="235"/>
      <c r="LGS1" s="235"/>
      <c r="LGT1" s="235"/>
      <c r="LGU1" s="235"/>
      <c r="LGV1" s="235"/>
      <c r="LGW1" s="235"/>
      <c r="LGX1" s="235"/>
      <c r="LGY1" s="235"/>
      <c r="LGZ1" s="235"/>
      <c r="LHA1" s="235"/>
      <c r="LHB1" s="235"/>
      <c r="LHC1" s="235"/>
      <c r="LHD1" s="235"/>
      <c r="LHE1" s="235"/>
      <c r="LHF1" s="235"/>
      <c r="LHG1" s="235"/>
      <c r="LHH1" s="235"/>
      <c r="LHI1" s="235"/>
      <c r="LHJ1" s="235"/>
      <c r="LHK1" s="235"/>
      <c r="LHL1" s="235"/>
      <c r="LHM1" s="235"/>
      <c r="LHN1" s="235"/>
      <c r="LHO1" s="235"/>
      <c r="LHP1" s="235"/>
      <c r="LHQ1" s="235"/>
      <c r="LHR1" s="235"/>
      <c r="LHS1" s="235"/>
      <c r="LHT1" s="235"/>
      <c r="LHU1" s="235"/>
      <c r="LHV1" s="235"/>
      <c r="LHW1" s="235"/>
      <c r="LHX1" s="235"/>
      <c r="LHY1" s="235"/>
      <c r="LHZ1" s="235"/>
      <c r="LIA1" s="235"/>
      <c r="LIB1" s="235"/>
      <c r="LIC1" s="235"/>
      <c r="LID1" s="235"/>
      <c r="LIE1" s="235"/>
      <c r="LIF1" s="235"/>
      <c r="LIG1" s="235"/>
      <c r="LIH1" s="235"/>
      <c r="LII1" s="235"/>
      <c r="LIJ1" s="235"/>
      <c r="LIK1" s="235"/>
      <c r="LIL1" s="235"/>
      <c r="LIM1" s="235"/>
      <c r="LIN1" s="235"/>
      <c r="LIO1" s="235"/>
      <c r="LIP1" s="235"/>
      <c r="LIQ1" s="235"/>
      <c r="LIR1" s="235"/>
      <c r="LIS1" s="235"/>
      <c r="LIT1" s="235"/>
      <c r="LIU1" s="235"/>
      <c r="LIV1" s="235"/>
      <c r="LIW1" s="235"/>
      <c r="LIX1" s="235"/>
      <c r="LIY1" s="235"/>
      <c r="LIZ1" s="235"/>
      <c r="LJA1" s="235"/>
      <c r="LJB1" s="235"/>
      <c r="LJC1" s="235"/>
      <c r="LJD1" s="235"/>
      <c r="LJE1" s="235"/>
      <c r="LJF1" s="235"/>
      <c r="LJG1" s="235"/>
      <c r="LJH1" s="235"/>
      <c r="LJI1" s="235"/>
      <c r="LJJ1" s="235"/>
      <c r="LJK1" s="235"/>
      <c r="LJL1" s="235"/>
      <c r="LJM1" s="235"/>
      <c r="LJN1" s="235"/>
      <c r="LJO1" s="235"/>
      <c r="LJP1" s="235"/>
      <c r="LJQ1" s="235"/>
      <c r="LJR1" s="235"/>
      <c r="LJS1" s="235"/>
      <c r="LJT1" s="235"/>
      <c r="LJU1" s="235"/>
      <c r="LJV1" s="235"/>
      <c r="LJW1" s="235"/>
      <c r="LJX1" s="235"/>
      <c r="LJY1" s="235"/>
      <c r="LJZ1" s="235"/>
      <c r="LKA1" s="235"/>
      <c r="LKB1" s="235"/>
      <c r="LKC1" s="235"/>
      <c r="LKD1" s="235"/>
      <c r="LKE1" s="235"/>
      <c r="LKF1" s="235"/>
      <c r="LKG1" s="235"/>
      <c r="LKH1" s="235"/>
      <c r="LKI1" s="235"/>
      <c r="LKJ1" s="235"/>
      <c r="LKK1" s="235"/>
      <c r="LKL1" s="235"/>
      <c r="LKM1" s="235"/>
      <c r="LKN1" s="235"/>
      <c r="LKO1" s="235"/>
      <c r="LKP1" s="235"/>
      <c r="LKQ1" s="235"/>
      <c r="LKR1" s="235"/>
      <c r="LKS1" s="235"/>
      <c r="LKT1" s="235"/>
      <c r="LKU1" s="235"/>
      <c r="LKV1" s="235"/>
      <c r="LKW1" s="235"/>
      <c r="LKX1" s="235"/>
      <c r="LKY1" s="235"/>
      <c r="LKZ1" s="235"/>
      <c r="LLA1" s="235"/>
      <c r="LLB1" s="235"/>
      <c r="LLC1" s="235"/>
      <c r="LLD1" s="235"/>
      <c r="LLE1" s="235"/>
      <c r="LLF1" s="235"/>
      <c r="LLG1" s="235"/>
      <c r="LLH1" s="235"/>
      <c r="LLI1" s="235"/>
      <c r="LLJ1" s="235"/>
      <c r="LLK1" s="235"/>
      <c r="LLL1" s="235"/>
      <c r="LLM1" s="235"/>
      <c r="LLN1" s="235"/>
      <c r="LLO1" s="235"/>
      <c r="LLP1" s="235"/>
      <c r="LLQ1" s="235"/>
      <c r="LLR1" s="235"/>
      <c r="LLS1" s="235"/>
      <c r="LLT1" s="235"/>
      <c r="LLU1" s="235"/>
      <c r="LLV1" s="235"/>
      <c r="LLW1" s="235"/>
      <c r="LLX1" s="235"/>
      <c r="LLY1" s="235"/>
      <c r="LLZ1" s="235"/>
      <c r="LMA1" s="235"/>
      <c r="LMB1" s="235"/>
      <c r="LMC1" s="235"/>
      <c r="LMD1" s="235"/>
      <c r="LME1" s="235"/>
      <c r="LMF1" s="235"/>
      <c r="LMG1" s="235"/>
      <c r="LMH1" s="235"/>
      <c r="LMI1" s="235"/>
      <c r="LMJ1" s="235"/>
      <c r="LMK1" s="235"/>
      <c r="LML1" s="235"/>
      <c r="LMM1" s="235"/>
      <c r="LMN1" s="235"/>
      <c r="LMO1" s="235"/>
      <c r="LMP1" s="235"/>
      <c r="LMQ1" s="235"/>
      <c r="LMR1" s="235"/>
      <c r="LMS1" s="235"/>
      <c r="LMT1" s="235"/>
      <c r="LMU1" s="235"/>
      <c r="LMV1" s="235"/>
      <c r="LMW1" s="235"/>
      <c r="LMX1" s="235"/>
      <c r="LMY1" s="235"/>
      <c r="LMZ1" s="235"/>
      <c r="LNA1" s="235"/>
      <c r="LNB1" s="235"/>
      <c r="LNC1" s="235"/>
      <c r="LND1" s="235"/>
      <c r="LNE1" s="235"/>
      <c r="LNF1" s="235"/>
      <c r="LNG1" s="235"/>
      <c r="LNH1" s="235"/>
      <c r="LNI1" s="235"/>
      <c r="LNJ1" s="235"/>
      <c r="LNK1" s="235"/>
      <c r="LNL1" s="235"/>
      <c r="LNM1" s="235"/>
      <c r="LNN1" s="235"/>
      <c r="LNO1" s="235"/>
      <c r="LNP1" s="235"/>
      <c r="LNQ1" s="235"/>
      <c r="LNR1" s="235"/>
      <c r="LNS1" s="235"/>
      <c r="LNT1" s="235"/>
      <c r="LNU1" s="235"/>
      <c r="LNV1" s="235"/>
      <c r="LNW1" s="235"/>
      <c r="LNX1" s="235"/>
      <c r="LNY1" s="235"/>
      <c r="LNZ1" s="235"/>
      <c r="LOA1" s="235"/>
      <c r="LOB1" s="235"/>
      <c r="LOC1" s="235"/>
      <c r="LOD1" s="235"/>
      <c r="LOE1" s="235"/>
      <c r="LOF1" s="235"/>
      <c r="LOG1" s="235"/>
      <c r="LOH1" s="235"/>
      <c r="LOI1" s="235"/>
      <c r="LOJ1" s="235"/>
      <c r="LOK1" s="235"/>
      <c r="LOL1" s="235"/>
      <c r="LOM1" s="235"/>
      <c r="LON1" s="235"/>
      <c r="LOO1" s="235"/>
      <c r="LOP1" s="235"/>
      <c r="LOQ1" s="235"/>
      <c r="LOR1" s="235"/>
      <c r="LOS1" s="235"/>
      <c r="LOT1" s="235"/>
      <c r="LOU1" s="235"/>
      <c r="LOV1" s="235"/>
      <c r="LOW1" s="235"/>
      <c r="LOX1" s="235"/>
      <c r="LOY1" s="235"/>
      <c r="LOZ1" s="235"/>
      <c r="LPA1" s="235"/>
      <c r="LPB1" s="235"/>
      <c r="LPC1" s="235"/>
      <c r="LPD1" s="235"/>
      <c r="LPE1" s="235"/>
      <c r="LPF1" s="235"/>
      <c r="LPG1" s="235"/>
      <c r="LPH1" s="235"/>
      <c r="LPI1" s="235"/>
      <c r="LPJ1" s="235"/>
      <c r="LPK1" s="235"/>
      <c r="LPL1" s="235"/>
      <c r="LPM1" s="235"/>
      <c r="LPN1" s="235"/>
      <c r="LPO1" s="235"/>
      <c r="LPP1" s="235"/>
      <c r="LPQ1" s="235"/>
      <c r="LPR1" s="235"/>
      <c r="LPS1" s="235"/>
      <c r="LPT1" s="235"/>
      <c r="LPU1" s="235"/>
      <c r="LPV1" s="235"/>
      <c r="LPW1" s="235"/>
      <c r="LPX1" s="235"/>
      <c r="LPY1" s="235"/>
      <c r="LPZ1" s="235"/>
      <c r="LQA1" s="235"/>
      <c r="LQB1" s="235"/>
      <c r="LQC1" s="235"/>
      <c r="LQD1" s="235"/>
      <c r="LQE1" s="235"/>
      <c r="LQF1" s="235"/>
      <c r="LQG1" s="235"/>
      <c r="LQH1" s="235"/>
      <c r="LQI1" s="235"/>
      <c r="LQJ1" s="235"/>
      <c r="LQK1" s="235"/>
      <c r="LQL1" s="235"/>
      <c r="LQM1" s="235"/>
      <c r="LQN1" s="235"/>
      <c r="LQO1" s="235"/>
      <c r="LQP1" s="235"/>
      <c r="LQQ1" s="235"/>
      <c r="LQR1" s="235"/>
      <c r="LQS1" s="235"/>
      <c r="LQT1" s="235"/>
      <c r="LQU1" s="235"/>
      <c r="LQV1" s="235"/>
      <c r="LQW1" s="235"/>
      <c r="LQX1" s="235"/>
      <c r="LQY1" s="235"/>
      <c r="LQZ1" s="235"/>
      <c r="LRA1" s="235"/>
      <c r="LRB1" s="235"/>
      <c r="LRC1" s="235"/>
      <c r="LRD1" s="235"/>
      <c r="LRE1" s="235"/>
      <c r="LRF1" s="235"/>
      <c r="LRG1" s="235"/>
      <c r="LRH1" s="235"/>
      <c r="LRI1" s="235"/>
      <c r="LRJ1" s="235"/>
      <c r="LRK1" s="235"/>
      <c r="LRL1" s="235"/>
      <c r="LRM1" s="235"/>
      <c r="LRN1" s="235"/>
      <c r="LRO1" s="235"/>
      <c r="LRP1" s="235"/>
      <c r="LRQ1" s="235"/>
      <c r="LRR1" s="235"/>
      <c r="LRS1" s="235"/>
      <c r="LRT1" s="235"/>
      <c r="LRU1" s="235"/>
      <c r="LRV1" s="235"/>
      <c r="LRW1" s="235"/>
      <c r="LRX1" s="235"/>
      <c r="LRY1" s="235"/>
      <c r="LRZ1" s="235"/>
      <c r="LSA1" s="235"/>
      <c r="LSB1" s="235"/>
      <c r="LSC1" s="235"/>
      <c r="LSD1" s="235"/>
      <c r="LSE1" s="235"/>
      <c r="LSF1" s="235"/>
      <c r="LSG1" s="235"/>
      <c r="LSH1" s="235"/>
      <c r="LSI1" s="235"/>
      <c r="LSJ1" s="235"/>
      <c r="LSK1" s="235"/>
      <c r="LSL1" s="235"/>
      <c r="LSM1" s="235"/>
      <c r="LSN1" s="235"/>
      <c r="LSO1" s="235"/>
      <c r="LSP1" s="235"/>
      <c r="LSQ1" s="235"/>
      <c r="LSR1" s="235"/>
      <c r="LSS1" s="235"/>
      <c r="LST1" s="235"/>
      <c r="LSU1" s="235"/>
      <c r="LSV1" s="235"/>
      <c r="LSW1" s="235"/>
      <c r="LSX1" s="235"/>
      <c r="LSY1" s="235"/>
      <c r="LSZ1" s="235"/>
      <c r="LTA1" s="235"/>
      <c r="LTB1" s="235"/>
      <c r="LTC1" s="235"/>
      <c r="LTD1" s="235"/>
      <c r="LTE1" s="235"/>
      <c r="LTF1" s="235"/>
      <c r="LTG1" s="235"/>
      <c r="LTH1" s="235"/>
      <c r="LTI1" s="235"/>
      <c r="LTJ1" s="235"/>
      <c r="LTK1" s="235"/>
      <c r="LTL1" s="235"/>
      <c r="LTM1" s="235"/>
      <c r="LTN1" s="235"/>
      <c r="LTO1" s="235"/>
      <c r="LTP1" s="235"/>
      <c r="LTQ1" s="235"/>
      <c r="LTR1" s="235"/>
      <c r="LTS1" s="235"/>
      <c r="LTT1" s="235"/>
      <c r="LTU1" s="235"/>
      <c r="LTV1" s="235"/>
      <c r="LTW1" s="235"/>
      <c r="LTX1" s="235"/>
      <c r="LTY1" s="235"/>
      <c r="LTZ1" s="235"/>
      <c r="LUA1" s="235"/>
      <c r="LUB1" s="235"/>
      <c r="LUC1" s="235"/>
      <c r="LUD1" s="235"/>
      <c r="LUE1" s="235"/>
      <c r="LUF1" s="235"/>
      <c r="LUG1" s="235"/>
      <c r="LUH1" s="235"/>
      <c r="LUI1" s="235"/>
      <c r="LUJ1" s="235"/>
      <c r="LUK1" s="235"/>
      <c r="LUL1" s="235"/>
      <c r="LUM1" s="235"/>
      <c r="LUN1" s="235"/>
      <c r="LUO1" s="235"/>
      <c r="LUP1" s="235"/>
      <c r="LUQ1" s="235"/>
      <c r="LUR1" s="235"/>
      <c r="LUS1" s="235"/>
      <c r="LUT1" s="235"/>
      <c r="LUU1" s="235"/>
      <c r="LUV1" s="235"/>
      <c r="LUW1" s="235"/>
      <c r="LUX1" s="235"/>
      <c r="LUY1" s="235"/>
      <c r="LUZ1" s="235"/>
      <c r="LVA1" s="235"/>
      <c r="LVB1" s="235"/>
      <c r="LVC1" s="235"/>
      <c r="LVD1" s="235"/>
      <c r="LVE1" s="235"/>
      <c r="LVF1" s="235"/>
      <c r="LVG1" s="235"/>
      <c r="LVH1" s="235"/>
      <c r="LVI1" s="235"/>
      <c r="LVJ1" s="235"/>
      <c r="LVK1" s="235"/>
      <c r="LVL1" s="235"/>
      <c r="LVM1" s="235"/>
      <c r="LVN1" s="235"/>
      <c r="LVO1" s="235"/>
      <c r="LVP1" s="235"/>
      <c r="LVQ1" s="235"/>
      <c r="LVR1" s="235"/>
      <c r="LVS1" s="235"/>
      <c r="LVT1" s="235"/>
      <c r="LVU1" s="235"/>
      <c r="LVV1" s="235"/>
      <c r="LVW1" s="235"/>
      <c r="LVX1" s="235"/>
      <c r="LVY1" s="235"/>
      <c r="LVZ1" s="235"/>
      <c r="LWA1" s="235"/>
      <c r="LWB1" s="235"/>
      <c r="LWC1" s="235"/>
      <c r="LWD1" s="235"/>
      <c r="LWE1" s="235"/>
      <c r="LWF1" s="235"/>
      <c r="LWG1" s="235"/>
      <c r="LWH1" s="235"/>
      <c r="LWI1" s="235"/>
      <c r="LWJ1" s="235"/>
      <c r="LWK1" s="235"/>
      <c r="LWL1" s="235"/>
      <c r="LWM1" s="235"/>
      <c r="LWN1" s="235"/>
      <c r="LWO1" s="235"/>
      <c r="LWP1" s="235"/>
      <c r="LWQ1" s="235"/>
      <c r="LWR1" s="235"/>
      <c r="LWS1" s="235"/>
      <c r="LWT1" s="235"/>
      <c r="LWU1" s="235"/>
      <c r="LWV1" s="235"/>
      <c r="LWW1" s="235"/>
      <c r="LWX1" s="235"/>
      <c r="LWY1" s="235"/>
      <c r="LWZ1" s="235"/>
      <c r="LXA1" s="235"/>
      <c r="LXB1" s="235"/>
      <c r="LXC1" s="235"/>
      <c r="LXD1" s="235"/>
      <c r="LXE1" s="235"/>
      <c r="LXF1" s="235"/>
      <c r="LXG1" s="235"/>
      <c r="LXH1" s="235"/>
      <c r="LXI1" s="235"/>
      <c r="LXJ1" s="235"/>
      <c r="LXK1" s="235"/>
      <c r="LXL1" s="235"/>
      <c r="LXM1" s="235"/>
      <c r="LXN1" s="235"/>
      <c r="LXO1" s="235"/>
      <c r="LXP1" s="235"/>
      <c r="LXQ1" s="235"/>
      <c r="LXR1" s="235"/>
      <c r="LXS1" s="235"/>
      <c r="LXT1" s="235"/>
      <c r="LXU1" s="235"/>
      <c r="LXV1" s="235"/>
      <c r="LXW1" s="235"/>
      <c r="LXX1" s="235"/>
      <c r="LXY1" s="235"/>
      <c r="LXZ1" s="235"/>
      <c r="LYA1" s="235"/>
      <c r="LYB1" s="235"/>
      <c r="LYC1" s="235"/>
      <c r="LYD1" s="235"/>
      <c r="LYE1" s="235"/>
      <c r="LYF1" s="235"/>
      <c r="LYG1" s="235"/>
      <c r="LYH1" s="235"/>
      <c r="LYI1" s="235"/>
      <c r="LYJ1" s="235"/>
      <c r="LYK1" s="235"/>
      <c r="LYL1" s="235"/>
      <c r="LYM1" s="235"/>
      <c r="LYN1" s="235"/>
      <c r="LYO1" s="235"/>
      <c r="LYP1" s="235"/>
      <c r="LYQ1" s="235"/>
      <c r="LYR1" s="235"/>
      <c r="LYS1" s="235"/>
      <c r="LYT1" s="235"/>
      <c r="LYU1" s="235"/>
      <c r="LYV1" s="235"/>
      <c r="LYW1" s="235"/>
      <c r="LYX1" s="235"/>
      <c r="LYY1" s="235"/>
      <c r="LYZ1" s="235"/>
      <c r="LZA1" s="235"/>
      <c r="LZB1" s="235"/>
      <c r="LZC1" s="235"/>
      <c r="LZD1" s="235"/>
      <c r="LZE1" s="235"/>
      <c r="LZF1" s="235"/>
      <c r="LZG1" s="235"/>
      <c r="LZH1" s="235"/>
      <c r="LZI1" s="235"/>
      <c r="LZJ1" s="235"/>
      <c r="LZK1" s="235"/>
      <c r="LZL1" s="235"/>
      <c r="LZM1" s="235"/>
      <c r="LZN1" s="235"/>
      <c r="LZO1" s="235"/>
      <c r="LZP1" s="235"/>
      <c r="LZQ1" s="235"/>
      <c r="LZR1" s="235"/>
      <c r="LZS1" s="235"/>
      <c r="LZT1" s="235"/>
      <c r="LZU1" s="235"/>
      <c r="LZV1" s="235"/>
      <c r="LZW1" s="235"/>
      <c r="LZX1" s="235"/>
      <c r="LZY1" s="235"/>
      <c r="LZZ1" s="235"/>
      <c r="MAA1" s="235"/>
      <c r="MAB1" s="235"/>
      <c r="MAC1" s="235"/>
      <c r="MAD1" s="235"/>
      <c r="MAE1" s="235"/>
      <c r="MAF1" s="235"/>
      <c r="MAG1" s="235"/>
      <c r="MAH1" s="235"/>
      <c r="MAI1" s="235"/>
      <c r="MAJ1" s="235"/>
      <c r="MAK1" s="235"/>
      <c r="MAL1" s="235"/>
      <c r="MAM1" s="235"/>
      <c r="MAN1" s="235"/>
      <c r="MAO1" s="235"/>
      <c r="MAP1" s="235"/>
      <c r="MAQ1" s="235"/>
      <c r="MAR1" s="235"/>
      <c r="MAS1" s="235"/>
      <c r="MAT1" s="235"/>
      <c r="MAU1" s="235"/>
      <c r="MAV1" s="235"/>
      <c r="MAW1" s="235"/>
      <c r="MAX1" s="235"/>
      <c r="MAY1" s="235"/>
      <c r="MAZ1" s="235"/>
      <c r="MBA1" s="235"/>
      <c r="MBB1" s="235"/>
      <c r="MBC1" s="235"/>
      <c r="MBD1" s="235"/>
      <c r="MBE1" s="235"/>
      <c r="MBF1" s="235"/>
      <c r="MBG1" s="235"/>
      <c r="MBH1" s="235"/>
      <c r="MBI1" s="235"/>
      <c r="MBJ1" s="235"/>
      <c r="MBK1" s="235"/>
      <c r="MBL1" s="235"/>
      <c r="MBM1" s="235"/>
      <c r="MBN1" s="235"/>
      <c r="MBO1" s="235"/>
      <c r="MBP1" s="235"/>
      <c r="MBQ1" s="235"/>
      <c r="MBR1" s="235"/>
      <c r="MBS1" s="235"/>
      <c r="MBT1" s="235"/>
      <c r="MBU1" s="235"/>
      <c r="MBV1" s="235"/>
      <c r="MBW1" s="235"/>
      <c r="MBX1" s="235"/>
      <c r="MBY1" s="235"/>
      <c r="MBZ1" s="235"/>
      <c r="MCA1" s="235"/>
      <c r="MCB1" s="235"/>
      <c r="MCC1" s="235"/>
      <c r="MCD1" s="235"/>
      <c r="MCE1" s="235"/>
      <c r="MCF1" s="235"/>
      <c r="MCG1" s="235"/>
      <c r="MCH1" s="235"/>
      <c r="MCI1" s="235"/>
      <c r="MCJ1" s="235"/>
      <c r="MCK1" s="235"/>
      <c r="MCL1" s="235"/>
      <c r="MCM1" s="235"/>
      <c r="MCN1" s="235"/>
      <c r="MCO1" s="235"/>
      <c r="MCP1" s="235"/>
      <c r="MCQ1" s="235"/>
      <c r="MCR1" s="235"/>
      <c r="MCS1" s="235"/>
      <c r="MCT1" s="235"/>
      <c r="MCU1" s="235"/>
      <c r="MCV1" s="235"/>
      <c r="MCW1" s="235"/>
      <c r="MCX1" s="235"/>
      <c r="MCY1" s="235"/>
      <c r="MCZ1" s="235"/>
      <c r="MDA1" s="235"/>
      <c r="MDB1" s="235"/>
      <c r="MDC1" s="235"/>
      <c r="MDD1" s="235"/>
      <c r="MDE1" s="235"/>
      <c r="MDF1" s="235"/>
      <c r="MDG1" s="235"/>
      <c r="MDH1" s="235"/>
      <c r="MDI1" s="235"/>
      <c r="MDJ1" s="235"/>
      <c r="MDK1" s="235"/>
      <c r="MDL1" s="235"/>
      <c r="MDM1" s="235"/>
      <c r="MDN1" s="235"/>
      <c r="MDO1" s="235"/>
      <c r="MDP1" s="235"/>
      <c r="MDQ1" s="235"/>
      <c r="MDR1" s="235"/>
      <c r="MDS1" s="235"/>
      <c r="MDT1" s="235"/>
      <c r="MDU1" s="235"/>
      <c r="MDV1" s="235"/>
      <c r="MDW1" s="235"/>
      <c r="MDX1" s="235"/>
      <c r="MDY1" s="235"/>
      <c r="MDZ1" s="235"/>
      <c r="MEA1" s="235"/>
      <c r="MEB1" s="235"/>
      <c r="MEC1" s="235"/>
      <c r="MED1" s="235"/>
      <c r="MEE1" s="235"/>
      <c r="MEF1" s="235"/>
      <c r="MEG1" s="235"/>
      <c r="MEH1" s="235"/>
      <c r="MEI1" s="235"/>
      <c r="MEJ1" s="235"/>
      <c r="MEK1" s="235"/>
      <c r="MEL1" s="235"/>
      <c r="MEM1" s="235"/>
      <c r="MEN1" s="235"/>
      <c r="MEO1" s="235"/>
      <c r="MEP1" s="235"/>
      <c r="MEQ1" s="235"/>
      <c r="MER1" s="235"/>
      <c r="MES1" s="235"/>
      <c r="MET1" s="235"/>
      <c r="MEU1" s="235"/>
      <c r="MEV1" s="235"/>
      <c r="MEW1" s="235"/>
      <c r="MEX1" s="235"/>
      <c r="MEY1" s="235"/>
      <c r="MEZ1" s="235"/>
      <c r="MFA1" s="235"/>
      <c r="MFB1" s="235"/>
      <c r="MFC1" s="235"/>
      <c r="MFD1" s="235"/>
      <c r="MFE1" s="235"/>
      <c r="MFF1" s="235"/>
      <c r="MFG1" s="235"/>
      <c r="MFH1" s="235"/>
      <c r="MFI1" s="235"/>
      <c r="MFJ1" s="235"/>
      <c r="MFK1" s="235"/>
      <c r="MFL1" s="235"/>
      <c r="MFM1" s="235"/>
      <c r="MFN1" s="235"/>
      <c r="MFO1" s="235"/>
      <c r="MFP1" s="235"/>
      <c r="MFQ1" s="235"/>
      <c r="MFR1" s="235"/>
      <c r="MFS1" s="235"/>
      <c r="MFT1" s="235"/>
      <c r="MFU1" s="235"/>
      <c r="MFV1" s="235"/>
      <c r="MFW1" s="235"/>
      <c r="MFX1" s="235"/>
      <c r="MFY1" s="235"/>
      <c r="MFZ1" s="235"/>
      <c r="MGA1" s="235"/>
      <c r="MGB1" s="235"/>
      <c r="MGC1" s="235"/>
      <c r="MGD1" s="235"/>
      <c r="MGE1" s="235"/>
      <c r="MGF1" s="235"/>
      <c r="MGG1" s="235"/>
      <c r="MGH1" s="235"/>
      <c r="MGI1" s="235"/>
      <c r="MGJ1" s="235"/>
      <c r="MGK1" s="235"/>
      <c r="MGL1" s="235"/>
      <c r="MGM1" s="235"/>
      <c r="MGN1" s="235"/>
      <c r="MGO1" s="235"/>
      <c r="MGP1" s="235"/>
      <c r="MGQ1" s="235"/>
      <c r="MGR1" s="235"/>
      <c r="MGS1" s="235"/>
      <c r="MGT1" s="235"/>
      <c r="MGU1" s="235"/>
      <c r="MGV1" s="235"/>
      <c r="MGW1" s="235"/>
      <c r="MGX1" s="235"/>
      <c r="MGY1" s="235"/>
      <c r="MGZ1" s="235"/>
      <c r="MHA1" s="235"/>
      <c r="MHB1" s="235"/>
      <c r="MHC1" s="235"/>
      <c r="MHD1" s="235"/>
      <c r="MHE1" s="235"/>
      <c r="MHF1" s="235"/>
      <c r="MHG1" s="235"/>
      <c r="MHH1" s="235"/>
      <c r="MHI1" s="235"/>
      <c r="MHJ1" s="235"/>
      <c r="MHK1" s="235"/>
      <c r="MHL1" s="235"/>
      <c r="MHM1" s="235"/>
      <c r="MHN1" s="235"/>
      <c r="MHO1" s="235"/>
      <c r="MHP1" s="235"/>
      <c r="MHQ1" s="235"/>
      <c r="MHR1" s="235"/>
      <c r="MHS1" s="235"/>
      <c r="MHT1" s="235"/>
      <c r="MHU1" s="235"/>
      <c r="MHV1" s="235"/>
      <c r="MHW1" s="235"/>
      <c r="MHX1" s="235"/>
      <c r="MHY1" s="235"/>
      <c r="MHZ1" s="235"/>
      <c r="MIA1" s="235"/>
      <c r="MIB1" s="235"/>
      <c r="MIC1" s="235"/>
      <c r="MID1" s="235"/>
      <c r="MIE1" s="235"/>
      <c r="MIF1" s="235"/>
      <c r="MIG1" s="235"/>
      <c r="MIH1" s="235"/>
      <c r="MII1" s="235"/>
      <c r="MIJ1" s="235"/>
      <c r="MIK1" s="235"/>
      <c r="MIL1" s="235"/>
      <c r="MIM1" s="235"/>
      <c r="MIN1" s="235"/>
      <c r="MIO1" s="235"/>
      <c r="MIP1" s="235"/>
      <c r="MIQ1" s="235"/>
      <c r="MIR1" s="235"/>
      <c r="MIS1" s="235"/>
      <c r="MIT1" s="235"/>
      <c r="MIU1" s="235"/>
      <c r="MIV1" s="235"/>
      <c r="MIW1" s="235"/>
      <c r="MIX1" s="235"/>
      <c r="MIY1" s="235"/>
      <c r="MIZ1" s="235"/>
      <c r="MJA1" s="235"/>
      <c r="MJB1" s="235"/>
      <c r="MJC1" s="235"/>
      <c r="MJD1" s="235"/>
      <c r="MJE1" s="235"/>
      <c r="MJF1" s="235"/>
      <c r="MJG1" s="235"/>
      <c r="MJH1" s="235"/>
      <c r="MJI1" s="235"/>
      <c r="MJJ1" s="235"/>
      <c r="MJK1" s="235"/>
      <c r="MJL1" s="235"/>
      <c r="MJM1" s="235"/>
      <c r="MJN1" s="235"/>
      <c r="MJO1" s="235"/>
      <c r="MJP1" s="235"/>
      <c r="MJQ1" s="235"/>
      <c r="MJR1" s="235"/>
      <c r="MJS1" s="235"/>
      <c r="MJT1" s="235"/>
      <c r="MJU1" s="235"/>
      <c r="MJV1" s="235"/>
      <c r="MJW1" s="235"/>
      <c r="MJX1" s="235"/>
      <c r="MJY1" s="235"/>
      <c r="MJZ1" s="235"/>
      <c r="MKA1" s="235"/>
      <c r="MKB1" s="235"/>
      <c r="MKC1" s="235"/>
      <c r="MKD1" s="235"/>
      <c r="MKE1" s="235"/>
      <c r="MKF1" s="235"/>
      <c r="MKG1" s="235"/>
      <c r="MKH1" s="235"/>
      <c r="MKI1" s="235"/>
      <c r="MKJ1" s="235"/>
      <c r="MKK1" s="235"/>
      <c r="MKL1" s="235"/>
      <c r="MKM1" s="235"/>
      <c r="MKN1" s="235"/>
      <c r="MKO1" s="235"/>
      <c r="MKP1" s="235"/>
      <c r="MKQ1" s="235"/>
      <c r="MKR1" s="235"/>
      <c r="MKS1" s="235"/>
      <c r="MKT1" s="235"/>
      <c r="MKU1" s="235"/>
      <c r="MKV1" s="235"/>
      <c r="MKW1" s="235"/>
      <c r="MKX1" s="235"/>
      <c r="MKY1" s="235"/>
      <c r="MKZ1" s="235"/>
      <c r="MLA1" s="235"/>
      <c r="MLB1" s="235"/>
      <c r="MLC1" s="235"/>
      <c r="MLD1" s="235"/>
      <c r="MLE1" s="235"/>
      <c r="MLF1" s="235"/>
      <c r="MLG1" s="235"/>
      <c r="MLH1" s="235"/>
      <c r="MLI1" s="235"/>
      <c r="MLJ1" s="235"/>
      <c r="MLK1" s="235"/>
      <c r="MLL1" s="235"/>
      <c r="MLM1" s="235"/>
      <c r="MLN1" s="235"/>
      <c r="MLO1" s="235"/>
      <c r="MLP1" s="235"/>
      <c r="MLQ1" s="235"/>
      <c r="MLR1" s="235"/>
      <c r="MLS1" s="235"/>
      <c r="MLT1" s="235"/>
      <c r="MLU1" s="235"/>
      <c r="MLV1" s="235"/>
      <c r="MLW1" s="235"/>
      <c r="MLX1" s="235"/>
      <c r="MLY1" s="235"/>
      <c r="MLZ1" s="235"/>
      <c r="MMA1" s="235"/>
      <c r="MMB1" s="235"/>
      <c r="MMC1" s="235"/>
      <c r="MMD1" s="235"/>
      <c r="MME1" s="235"/>
      <c r="MMF1" s="235"/>
      <c r="MMG1" s="235"/>
      <c r="MMH1" s="235"/>
      <c r="MMI1" s="235"/>
      <c r="MMJ1" s="235"/>
      <c r="MMK1" s="235"/>
      <c r="MML1" s="235"/>
      <c r="MMM1" s="235"/>
      <c r="MMN1" s="235"/>
      <c r="MMO1" s="235"/>
      <c r="MMP1" s="235"/>
      <c r="MMQ1" s="235"/>
      <c r="MMR1" s="235"/>
      <c r="MMS1" s="235"/>
      <c r="MMT1" s="235"/>
      <c r="MMU1" s="235"/>
      <c r="MMV1" s="235"/>
      <c r="MMW1" s="235"/>
      <c r="MMX1" s="235"/>
      <c r="MMY1" s="235"/>
      <c r="MMZ1" s="235"/>
      <c r="MNA1" s="235"/>
      <c r="MNB1" s="235"/>
      <c r="MNC1" s="235"/>
      <c r="MND1" s="235"/>
      <c r="MNE1" s="235"/>
      <c r="MNF1" s="235"/>
      <c r="MNG1" s="235"/>
      <c r="MNH1" s="235"/>
      <c r="MNI1" s="235"/>
      <c r="MNJ1" s="235"/>
      <c r="MNK1" s="235"/>
      <c r="MNL1" s="235"/>
      <c r="MNM1" s="235"/>
      <c r="MNN1" s="235"/>
      <c r="MNO1" s="235"/>
      <c r="MNP1" s="235"/>
      <c r="MNQ1" s="235"/>
      <c r="MNR1" s="235"/>
      <c r="MNS1" s="235"/>
      <c r="MNT1" s="235"/>
      <c r="MNU1" s="235"/>
      <c r="MNV1" s="235"/>
      <c r="MNW1" s="235"/>
      <c r="MNX1" s="235"/>
      <c r="MNY1" s="235"/>
      <c r="MNZ1" s="235"/>
      <c r="MOA1" s="235"/>
      <c r="MOB1" s="235"/>
      <c r="MOC1" s="235"/>
      <c r="MOD1" s="235"/>
      <c r="MOE1" s="235"/>
      <c r="MOF1" s="235"/>
      <c r="MOG1" s="235"/>
      <c r="MOH1" s="235"/>
      <c r="MOI1" s="235"/>
      <c r="MOJ1" s="235"/>
      <c r="MOK1" s="235"/>
      <c r="MOL1" s="235"/>
      <c r="MOM1" s="235"/>
      <c r="MON1" s="235"/>
      <c r="MOO1" s="235"/>
      <c r="MOP1" s="235"/>
      <c r="MOQ1" s="235"/>
      <c r="MOR1" s="235"/>
      <c r="MOS1" s="235"/>
      <c r="MOT1" s="235"/>
      <c r="MOU1" s="235"/>
      <c r="MOV1" s="235"/>
      <c r="MOW1" s="235"/>
      <c r="MOX1" s="235"/>
      <c r="MOY1" s="235"/>
      <c r="MOZ1" s="235"/>
      <c r="MPA1" s="235"/>
      <c r="MPB1" s="235"/>
      <c r="MPC1" s="235"/>
      <c r="MPD1" s="235"/>
      <c r="MPE1" s="235"/>
      <c r="MPF1" s="235"/>
      <c r="MPG1" s="235"/>
      <c r="MPH1" s="235"/>
      <c r="MPI1" s="235"/>
      <c r="MPJ1" s="235"/>
      <c r="MPK1" s="235"/>
      <c r="MPL1" s="235"/>
      <c r="MPM1" s="235"/>
      <c r="MPN1" s="235"/>
      <c r="MPO1" s="235"/>
      <c r="MPP1" s="235"/>
      <c r="MPQ1" s="235"/>
      <c r="MPR1" s="235"/>
      <c r="MPS1" s="235"/>
      <c r="MPT1" s="235"/>
      <c r="MPU1" s="235"/>
      <c r="MPV1" s="235"/>
      <c r="MPW1" s="235"/>
      <c r="MPX1" s="235"/>
      <c r="MPY1" s="235"/>
      <c r="MPZ1" s="235"/>
      <c r="MQA1" s="235"/>
      <c r="MQB1" s="235"/>
      <c r="MQC1" s="235"/>
      <c r="MQD1" s="235"/>
      <c r="MQE1" s="235"/>
      <c r="MQF1" s="235"/>
      <c r="MQG1" s="235"/>
      <c r="MQH1" s="235"/>
      <c r="MQI1" s="235"/>
      <c r="MQJ1" s="235"/>
      <c r="MQK1" s="235"/>
      <c r="MQL1" s="235"/>
      <c r="MQM1" s="235"/>
      <c r="MQN1" s="235"/>
      <c r="MQO1" s="235"/>
      <c r="MQP1" s="235"/>
      <c r="MQQ1" s="235"/>
      <c r="MQR1" s="235"/>
      <c r="MQS1" s="235"/>
      <c r="MQT1" s="235"/>
      <c r="MQU1" s="235"/>
      <c r="MQV1" s="235"/>
      <c r="MQW1" s="235"/>
      <c r="MQX1" s="235"/>
      <c r="MQY1" s="235"/>
      <c r="MQZ1" s="235"/>
      <c r="MRA1" s="235"/>
      <c r="MRB1" s="235"/>
      <c r="MRC1" s="235"/>
      <c r="MRD1" s="235"/>
      <c r="MRE1" s="235"/>
      <c r="MRF1" s="235"/>
      <c r="MRG1" s="235"/>
      <c r="MRH1" s="235"/>
      <c r="MRI1" s="235"/>
      <c r="MRJ1" s="235"/>
      <c r="MRK1" s="235"/>
      <c r="MRL1" s="235"/>
      <c r="MRM1" s="235"/>
      <c r="MRN1" s="235"/>
      <c r="MRO1" s="235"/>
      <c r="MRP1" s="235"/>
      <c r="MRQ1" s="235"/>
      <c r="MRR1" s="235"/>
      <c r="MRS1" s="235"/>
      <c r="MRT1" s="235"/>
      <c r="MRU1" s="235"/>
      <c r="MRV1" s="235"/>
      <c r="MRW1" s="235"/>
      <c r="MRX1" s="235"/>
      <c r="MRY1" s="235"/>
      <c r="MRZ1" s="235"/>
      <c r="MSA1" s="235"/>
      <c r="MSB1" s="235"/>
      <c r="MSC1" s="235"/>
      <c r="MSD1" s="235"/>
      <c r="MSE1" s="235"/>
      <c r="MSF1" s="235"/>
      <c r="MSG1" s="235"/>
      <c r="MSH1" s="235"/>
      <c r="MSI1" s="235"/>
      <c r="MSJ1" s="235"/>
      <c r="MSK1" s="235"/>
      <c r="MSL1" s="235"/>
      <c r="MSM1" s="235"/>
      <c r="MSN1" s="235"/>
      <c r="MSO1" s="235"/>
      <c r="MSP1" s="235"/>
      <c r="MSQ1" s="235"/>
      <c r="MSR1" s="235"/>
      <c r="MSS1" s="235"/>
      <c r="MST1" s="235"/>
      <c r="MSU1" s="235"/>
      <c r="MSV1" s="235"/>
      <c r="MSW1" s="235"/>
      <c r="MSX1" s="235"/>
      <c r="MSY1" s="235"/>
      <c r="MSZ1" s="235"/>
      <c r="MTA1" s="235"/>
      <c r="MTB1" s="235"/>
      <c r="MTC1" s="235"/>
      <c r="MTD1" s="235"/>
      <c r="MTE1" s="235"/>
      <c r="MTF1" s="235"/>
      <c r="MTG1" s="235"/>
      <c r="MTH1" s="235"/>
      <c r="MTI1" s="235"/>
      <c r="MTJ1" s="235"/>
      <c r="MTK1" s="235"/>
      <c r="MTL1" s="235"/>
      <c r="MTM1" s="235"/>
      <c r="MTN1" s="235"/>
      <c r="MTO1" s="235"/>
      <c r="MTP1" s="235"/>
      <c r="MTQ1" s="235"/>
      <c r="MTR1" s="235"/>
      <c r="MTS1" s="235"/>
      <c r="MTT1" s="235"/>
      <c r="MTU1" s="235"/>
      <c r="MTV1" s="235"/>
      <c r="MTW1" s="235"/>
      <c r="MTX1" s="235"/>
      <c r="MTY1" s="235"/>
      <c r="MTZ1" s="235"/>
      <c r="MUA1" s="235"/>
      <c r="MUB1" s="235"/>
      <c r="MUC1" s="235"/>
      <c r="MUD1" s="235"/>
      <c r="MUE1" s="235"/>
      <c r="MUF1" s="235"/>
      <c r="MUG1" s="235"/>
      <c r="MUH1" s="235"/>
      <c r="MUI1" s="235"/>
      <c r="MUJ1" s="235"/>
      <c r="MUK1" s="235"/>
      <c r="MUL1" s="235"/>
      <c r="MUM1" s="235"/>
      <c r="MUN1" s="235"/>
      <c r="MUO1" s="235"/>
      <c r="MUP1" s="235"/>
      <c r="MUQ1" s="235"/>
      <c r="MUR1" s="235"/>
      <c r="MUS1" s="235"/>
      <c r="MUT1" s="235"/>
      <c r="MUU1" s="235"/>
      <c r="MUV1" s="235"/>
      <c r="MUW1" s="235"/>
      <c r="MUX1" s="235"/>
      <c r="MUY1" s="235"/>
      <c r="MUZ1" s="235"/>
      <c r="MVA1" s="235"/>
      <c r="MVB1" s="235"/>
      <c r="MVC1" s="235"/>
      <c r="MVD1" s="235"/>
      <c r="MVE1" s="235"/>
      <c r="MVF1" s="235"/>
      <c r="MVG1" s="235"/>
      <c r="MVH1" s="235"/>
      <c r="MVI1" s="235"/>
      <c r="MVJ1" s="235"/>
      <c r="MVK1" s="235"/>
      <c r="MVL1" s="235"/>
      <c r="MVM1" s="235"/>
      <c r="MVN1" s="235"/>
      <c r="MVO1" s="235"/>
      <c r="MVP1" s="235"/>
      <c r="MVQ1" s="235"/>
      <c r="MVR1" s="235"/>
      <c r="MVS1" s="235"/>
      <c r="MVT1" s="235"/>
      <c r="MVU1" s="235"/>
      <c r="MVV1" s="235"/>
      <c r="MVW1" s="235"/>
      <c r="MVX1" s="235"/>
      <c r="MVY1" s="235"/>
      <c r="MVZ1" s="235"/>
      <c r="MWA1" s="235"/>
      <c r="MWB1" s="235"/>
      <c r="MWC1" s="235"/>
      <c r="MWD1" s="235"/>
      <c r="MWE1" s="235"/>
      <c r="MWF1" s="235"/>
      <c r="MWG1" s="235"/>
      <c r="MWH1" s="235"/>
      <c r="MWI1" s="235"/>
      <c r="MWJ1" s="235"/>
      <c r="MWK1" s="235"/>
      <c r="MWL1" s="235"/>
      <c r="MWM1" s="235"/>
      <c r="MWN1" s="235"/>
      <c r="MWO1" s="235"/>
      <c r="MWP1" s="235"/>
      <c r="MWQ1" s="235"/>
      <c r="MWR1" s="235"/>
      <c r="MWS1" s="235"/>
      <c r="MWT1" s="235"/>
      <c r="MWU1" s="235"/>
      <c r="MWV1" s="235"/>
      <c r="MWW1" s="235"/>
      <c r="MWX1" s="235"/>
      <c r="MWY1" s="235"/>
      <c r="MWZ1" s="235"/>
      <c r="MXA1" s="235"/>
      <c r="MXB1" s="235"/>
      <c r="MXC1" s="235"/>
      <c r="MXD1" s="235"/>
      <c r="MXE1" s="235"/>
      <c r="MXF1" s="235"/>
      <c r="MXG1" s="235"/>
      <c r="MXH1" s="235"/>
      <c r="MXI1" s="235"/>
      <c r="MXJ1" s="235"/>
      <c r="MXK1" s="235"/>
      <c r="MXL1" s="235"/>
      <c r="MXM1" s="235"/>
      <c r="MXN1" s="235"/>
      <c r="MXO1" s="235"/>
      <c r="MXP1" s="235"/>
      <c r="MXQ1" s="235"/>
      <c r="MXR1" s="235"/>
      <c r="MXS1" s="235"/>
      <c r="MXT1" s="235"/>
      <c r="MXU1" s="235"/>
      <c r="MXV1" s="235"/>
      <c r="MXW1" s="235"/>
      <c r="MXX1" s="235"/>
      <c r="MXY1" s="235"/>
      <c r="MXZ1" s="235"/>
      <c r="MYA1" s="235"/>
      <c r="MYB1" s="235"/>
      <c r="MYC1" s="235"/>
      <c r="MYD1" s="235"/>
      <c r="MYE1" s="235"/>
      <c r="MYF1" s="235"/>
      <c r="MYG1" s="235"/>
      <c r="MYH1" s="235"/>
      <c r="MYI1" s="235"/>
      <c r="MYJ1" s="235"/>
      <c r="MYK1" s="235"/>
      <c r="MYL1" s="235"/>
      <c r="MYM1" s="235"/>
      <c r="MYN1" s="235"/>
      <c r="MYO1" s="235"/>
      <c r="MYP1" s="235"/>
      <c r="MYQ1" s="235"/>
      <c r="MYR1" s="235"/>
      <c r="MYS1" s="235"/>
      <c r="MYT1" s="235"/>
      <c r="MYU1" s="235"/>
      <c r="MYV1" s="235"/>
      <c r="MYW1" s="235"/>
      <c r="MYX1" s="235"/>
      <c r="MYY1" s="235"/>
      <c r="MYZ1" s="235"/>
      <c r="MZA1" s="235"/>
      <c r="MZB1" s="235"/>
      <c r="MZC1" s="235"/>
      <c r="MZD1" s="235"/>
      <c r="MZE1" s="235"/>
      <c r="MZF1" s="235"/>
      <c r="MZG1" s="235"/>
      <c r="MZH1" s="235"/>
      <c r="MZI1" s="235"/>
      <c r="MZJ1" s="235"/>
      <c r="MZK1" s="235"/>
      <c r="MZL1" s="235"/>
      <c r="MZM1" s="235"/>
      <c r="MZN1" s="235"/>
      <c r="MZO1" s="235"/>
      <c r="MZP1" s="235"/>
      <c r="MZQ1" s="235"/>
      <c r="MZR1" s="235"/>
      <c r="MZS1" s="235"/>
      <c r="MZT1" s="235"/>
      <c r="MZU1" s="235"/>
      <c r="MZV1" s="235"/>
      <c r="MZW1" s="235"/>
      <c r="MZX1" s="235"/>
      <c r="MZY1" s="235"/>
      <c r="MZZ1" s="235"/>
      <c r="NAA1" s="235"/>
      <c r="NAB1" s="235"/>
      <c r="NAC1" s="235"/>
      <c r="NAD1" s="235"/>
      <c r="NAE1" s="235"/>
      <c r="NAF1" s="235"/>
      <c r="NAG1" s="235"/>
      <c r="NAH1" s="235"/>
      <c r="NAI1" s="235"/>
      <c r="NAJ1" s="235"/>
      <c r="NAK1" s="235"/>
      <c r="NAL1" s="235"/>
      <c r="NAM1" s="235"/>
      <c r="NAN1" s="235"/>
      <c r="NAO1" s="235"/>
      <c r="NAP1" s="235"/>
      <c r="NAQ1" s="235"/>
      <c r="NAR1" s="235"/>
      <c r="NAS1" s="235"/>
      <c r="NAT1" s="235"/>
      <c r="NAU1" s="235"/>
      <c r="NAV1" s="235"/>
      <c r="NAW1" s="235"/>
      <c r="NAX1" s="235"/>
      <c r="NAY1" s="235"/>
      <c r="NAZ1" s="235"/>
      <c r="NBA1" s="235"/>
      <c r="NBB1" s="235"/>
      <c r="NBC1" s="235"/>
      <c r="NBD1" s="235"/>
      <c r="NBE1" s="235"/>
      <c r="NBF1" s="235"/>
      <c r="NBG1" s="235"/>
      <c r="NBH1" s="235"/>
      <c r="NBI1" s="235"/>
      <c r="NBJ1" s="235"/>
      <c r="NBK1" s="235"/>
      <c r="NBL1" s="235"/>
      <c r="NBM1" s="235"/>
      <c r="NBN1" s="235"/>
      <c r="NBO1" s="235"/>
      <c r="NBP1" s="235"/>
      <c r="NBQ1" s="235"/>
      <c r="NBR1" s="235"/>
      <c r="NBS1" s="235"/>
      <c r="NBT1" s="235"/>
      <c r="NBU1" s="235"/>
      <c r="NBV1" s="235"/>
      <c r="NBW1" s="235"/>
      <c r="NBX1" s="235"/>
      <c r="NBY1" s="235"/>
      <c r="NBZ1" s="235"/>
      <c r="NCA1" s="235"/>
      <c r="NCB1" s="235"/>
      <c r="NCC1" s="235"/>
      <c r="NCD1" s="235"/>
      <c r="NCE1" s="235"/>
      <c r="NCF1" s="235"/>
      <c r="NCG1" s="235"/>
      <c r="NCH1" s="235"/>
      <c r="NCI1" s="235"/>
      <c r="NCJ1" s="235"/>
      <c r="NCK1" s="235"/>
      <c r="NCL1" s="235"/>
      <c r="NCM1" s="235"/>
      <c r="NCN1" s="235"/>
      <c r="NCO1" s="235"/>
      <c r="NCP1" s="235"/>
      <c r="NCQ1" s="235"/>
      <c r="NCR1" s="235"/>
      <c r="NCS1" s="235"/>
      <c r="NCT1" s="235"/>
      <c r="NCU1" s="235"/>
      <c r="NCV1" s="235"/>
      <c r="NCW1" s="235"/>
      <c r="NCX1" s="235"/>
      <c r="NCY1" s="235"/>
      <c r="NCZ1" s="235"/>
      <c r="NDA1" s="235"/>
      <c r="NDB1" s="235"/>
      <c r="NDC1" s="235"/>
      <c r="NDD1" s="235"/>
      <c r="NDE1" s="235"/>
      <c r="NDF1" s="235"/>
      <c r="NDG1" s="235"/>
      <c r="NDH1" s="235"/>
      <c r="NDI1" s="235"/>
      <c r="NDJ1" s="235"/>
      <c r="NDK1" s="235"/>
      <c r="NDL1" s="235"/>
      <c r="NDM1" s="235"/>
      <c r="NDN1" s="235"/>
      <c r="NDO1" s="235"/>
      <c r="NDP1" s="235"/>
      <c r="NDQ1" s="235"/>
      <c r="NDR1" s="235"/>
      <c r="NDS1" s="235"/>
      <c r="NDT1" s="235"/>
      <c r="NDU1" s="235"/>
      <c r="NDV1" s="235"/>
      <c r="NDW1" s="235"/>
      <c r="NDX1" s="235"/>
      <c r="NDY1" s="235"/>
      <c r="NDZ1" s="235"/>
      <c r="NEA1" s="235"/>
      <c r="NEB1" s="235"/>
      <c r="NEC1" s="235"/>
      <c r="NED1" s="235"/>
      <c r="NEE1" s="235"/>
      <c r="NEF1" s="235"/>
      <c r="NEG1" s="235"/>
      <c r="NEH1" s="235"/>
      <c r="NEI1" s="235"/>
      <c r="NEJ1" s="235"/>
      <c r="NEK1" s="235"/>
      <c r="NEL1" s="235"/>
      <c r="NEM1" s="235"/>
      <c r="NEN1" s="235"/>
      <c r="NEO1" s="235"/>
      <c r="NEP1" s="235"/>
      <c r="NEQ1" s="235"/>
      <c r="NER1" s="235"/>
      <c r="NES1" s="235"/>
      <c r="NET1" s="235"/>
      <c r="NEU1" s="235"/>
      <c r="NEV1" s="235"/>
      <c r="NEW1" s="235"/>
      <c r="NEX1" s="235"/>
      <c r="NEY1" s="235"/>
      <c r="NEZ1" s="235"/>
      <c r="NFA1" s="235"/>
      <c r="NFB1" s="235"/>
      <c r="NFC1" s="235"/>
      <c r="NFD1" s="235"/>
      <c r="NFE1" s="235"/>
      <c r="NFF1" s="235"/>
      <c r="NFG1" s="235"/>
      <c r="NFH1" s="235"/>
      <c r="NFI1" s="235"/>
      <c r="NFJ1" s="235"/>
      <c r="NFK1" s="235"/>
      <c r="NFL1" s="235"/>
      <c r="NFM1" s="235"/>
      <c r="NFN1" s="235"/>
      <c r="NFO1" s="235"/>
      <c r="NFP1" s="235"/>
      <c r="NFQ1" s="235"/>
      <c r="NFR1" s="235"/>
      <c r="NFS1" s="235"/>
      <c r="NFT1" s="235"/>
      <c r="NFU1" s="235"/>
      <c r="NFV1" s="235"/>
      <c r="NFW1" s="235"/>
      <c r="NFX1" s="235"/>
      <c r="NFY1" s="235"/>
      <c r="NFZ1" s="235"/>
      <c r="NGA1" s="235"/>
      <c r="NGB1" s="235"/>
      <c r="NGC1" s="235"/>
      <c r="NGD1" s="235"/>
      <c r="NGE1" s="235"/>
      <c r="NGF1" s="235"/>
      <c r="NGG1" s="235"/>
      <c r="NGH1" s="235"/>
      <c r="NGI1" s="235"/>
      <c r="NGJ1" s="235"/>
      <c r="NGK1" s="235"/>
      <c r="NGL1" s="235"/>
      <c r="NGM1" s="235"/>
      <c r="NGN1" s="235"/>
      <c r="NGO1" s="235"/>
      <c r="NGP1" s="235"/>
      <c r="NGQ1" s="235"/>
      <c r="NGR1" s="235"/>
      <c r="NGS1" s="235"/>
      <c r="NGT1" s="235"/>
      <c r="NGU1" s="235"/>
      <c r="NGV1" s="235"/>
      <c r="NGW1" s="235"/>
      <c r="NGX1" s="235"/>
      <c r="NGY1" s="235"/>
      <c r="NGZ1" s="235"/>
      <c r="NHA1" s="235"/>
      <c r="NHB1" s="235"/>
      <c r="NHC1" s="235"/>
      <c r="NHD1" s="235"/>
      <c r="NHE1" s="235"/>
      <c r="NHF1" s="235"/>
      <c r="NHG1" s="235"/>
      <c r="NHH1" s="235"/>
      <c r="NHI1" s="235"/>
      <c r="NHJ1" s="235"/>
      <c r="NHK1" s="235"/>
      <c r="NHL1" s="235"/>
      <c r="NHM1" s="235"/>
      <c r="NHN1" s="235"/>
      <c r="NHO1" s="235"/>
      <c r="NHP1" s="235"/>
      <c r="NHQ1" s="235"/>
      <c r="NHR1" s="235"/>
      <c r="NHS1" s="235"/>
      <c r="NHT1" s="235"/>
      <c r="NHU1" s="235"/>
      <c r="NHV1" s="235"/>
      <c r="NHW1" s="235"/>
      <c r="NHX1" s="235"/>
      <c r="NHY1" s="235"/>
      <c r="NHZ1" s="235"/>
      <c r="NIA1" s="235"/>
      <c r="NIB1" s="235"/>
      <c r="NIC1" s="235"/>
      <c r="NID1" s="235"/>
      <c r="NIE1" s="235"/>
      <c r="NIF1" s="235"/>
      <c r="NIG1" s="235"/>
      <c r="NIH1" s="235"/>
      <c r="NII1" s="235"/>
      <c r="NIJ1" s="235"/>
      <c r="NIK1" s="235"/>
      <c r="NIL1" s="235"/>
      <c r="NIM1" s="235"/>
      <c r="NIN1" s="235"/>
      <c r="NIO1" s="235"/>
      <c r="NIP1" s="235"/>
      <c r="NIQ1" s="235"/>
      <c r="NIR1" s="235"/>
      <c r="NIS1" s="235"/>
      <c r="NIT1" s="235"/>
      <c r="NIU1" s="235"/>
      <c r="NIV1" s="235"/>
      <c r="NIW1" s="235"/>
      <c r="NIX1" s="235"/>
      <c r="NIY1" s="235"/>
      <c r="NIZ1" s="235"/>
      <c r="NJA1" s="235"/>
      <c r="NJB1" s="235"/>
      <c r="NJC1" s="235"/>
      <c r="NJD1" s="235"/>
      <c r="NJE1" s="235"/>
      <c r="NJF1" s="235"/>
      <c r="NJG1" s="235"/>
      <c r="NJH1" s="235"/>
      <c r="NJI1" s="235"/>
      <c r="NJJ1" s="235"/>
      <c r="NJK1" s="235"/>
      <c r="NJL1" s="235"/>
      <c r="NJM1" s="235"/>
      <c r="NJN1" s="235"/>
      <c r="NJO1" s="235"/>
      <c r="NJP1" s="235"/>
      <c r="NJQ1" s="235"/>
      <c r="NJR1" s="235"/>
      <c r="NJS1" s="235"/>
      <c r="NJT1" s="235"/>
      <c r="NJU1" s="235"/>
      <c r="NJV1" s="235"/>
      <c r="NJW1" s="235"/>
      <c r="NJX1" s="235"/>
      <c r="NJY1" s="235"/>
      <c r="NJZ1" s="235"/>
      <c r="NKA1" s="235"/>
      <c r="NKB1" s="235"/>
      <c r="NKC1" s="235"/>
      <c r="NKD1" s="235"/>
      <c r="NKE1" s="235"/>
      <c r="NKF1" s="235"/>
      <c r="NKG1" s="235"/>
      <c r="NKH1" s="235"/>
      <c r="NKI1" s="235"/>
      <c r="NKJ1" s="235"/>
      <c r="NKK1" s="235"/>
      <c r="NKL1" s="235"/>
      <c r="NKM1" s="235"/>
      <c r="NKN1" s="235"/>
      <c r="NKO1" s="235"/>
      <c r="NKP1" s="235"/>
      <c r="NKQ1" s="235"/>
      <c r="NKR1" s="235"/>
      <c r="NKS1" s="235"/>
      <c r="NKT1" s="235"/>
      <c r="NKU1" s="235"/>
      <c r="NKV1" s="235"/>
      <c r="NKW1" s="235"/>
      <c r="NKX1" s="235"/>
      <c r="NKY1" s="235"/>
      <c r="NKZ1" s="235"/>
      <c r="NLA1" s="235"/>
      <c r="NLB1" s="235"/>
      <c r="NLC1" s="235"/>
      <c r="NLD1" s="235"/>
      <c r="NLE1" s="235"/>
      <c r="NLF1" s="235"/>
      <c r="NLG1" s="235"/>
      <c r="NLH1" s="235"/>
      <c r="NLI1" s="235"/>
      <c r="NLJ1" s="235"/>
      <c r="NLK1" s="235"/>
      <c r="NLL1" s="235"/>
      <c r="NLM1" s="235"/>
      <c r="NLN1" s="235"/>
      <c r="NLO1" s="235"/>
      <c r="NLP1" s="235"/>
      <c r="NLQ1" s="235"/>
      <c r="NLR1" s="235"/>
      <c r="NLS1" s="235"/>
      <c r="NLT1" s="235"/>
      <c r="NLU1" s="235"/>
      <c r="NLV1" s="235"/>
      <c r="NLW1" s="235"/>
      <c r="NLX1" s="235"/>
      <c r="NLY1" s="235"/>
      <c r="NLZ1" s="235"/>
      <c r="NMA1" s="235"/>
      <c r="NMB1" s="235"/>
      <c r="NMC1" s="235"/>
      <c r="NMD1" s="235"/>
      <c r="NME1" s="235"/>
      <c r="NMF1" s="235"/>
      <c r="NMG1" s="235"/>
      <c r="NMH1" s="235"/>
      <c r="NMI1" s="235"/>
      <c r="NMJ1" s="235"/>
      <c r="NMK1" s="235"/>
      <c r="NML1" s="235"/>
      <c r="NMM1" s="235"/>
      <c r="NMN1" s="235"/>
      <c r="NMO1" s="235"/>
      <c r="NMP1" s="235"/>
      <c r="NMQ1" s="235"/>
      <c r="NMR1" s="235"/>
      <c r="NMS1" s="235"/>
      <c r="NMT1" s="235"/>
      <c r="NMU1" s="235"/>
      <c r="NMV1" s="235"/>
      <c r="NMW1" s="235"/>
      <c r="NMX1" s="235"/>
      <c r="NMY1" s="235"/>
      <c r="NMZ1" s="235"/>
      <c r="NNA1" s="235"/>
      <c r="NNB1" s="235"/>
      <c r="NNC1" s="235"/>
      <c r="NND1" s="235"/>
      <c r="NNE1" s="235"/>
      <c r="NNF1" s="235"/>
      <c r="NNG1" s="235"/>
      <c r="NNH1" s="235"/>
      <c r="NNI1" s="235"/>
      <c r="NNJ1" s="235"/>
      <c r="NNK1" s="235"/>
      <c r="NNL1" s="235"/>
      <c r="NNM1" s="235"/>
      <c r="NNN1" s="235"/>
      <c r="NNO1" s="235"/>
      <c r="NNP1" s="235"/>
      <c r="NNQ1" s="235"/>
      <c r="NNR1" s="235"/>
      <c r="NNS1" s="235"/>
      <c r="NNT1" s="235"/>
      <c r="NNU1" s="235"/>
      <c r="NNV1" s="235"/>
      <c r="NNW1" s="235"/>
      <c r="NNX1" s="235"/>
      <c r="NNY1" s="235"/>
      <c r="NNZ1" s="235"/>
      <c r="NOA1" s="235"/>
      <c r="NOB1" s="235"/>
      <c r="NOC1" s="235"/>
      <c r="NOD1" s="235"/>
      <c r="NOE1" s="235"/>
      <c r="NOF1" s="235"/>
      <c r="NOG1" s="235"/>
      <c r="NOH1" s="235"/>
      <c r="NOI1" s="235"/>
      <c r="NOJ1" s="235"/>
      <c r="NOK1" s="235"/>
      <c r="NOL1" s="235"/>
      <c r="NOM1" s="235"/>
      <c r="NON1" s="235"/>
      <c r="NOO1" s="235"/>
      <c r="NOP1" s="235"/>
      <c r="NOQ1" s="235"/>
      <c r="NOR1" s="235"/>
      <c r="NOS1" s="235"/>
      <c r="NOT1" s="235"/>
      <c r="NOU1" s="235"/>
      <c r="NOV1" s="235"/>
      <c r="NOW1" s="235"/>
      <c r="NOX1" s="235"/>
      <c r="NOY1" s="235"/>
      <c r="NOZ1" s="235"/>
      <c r="NPA1" s="235"/>
      <c r="NPB1" s="235"/>
      <c r="NPC1" s="235"/>
      <c r="NPD1" s="235"/>
      <c r="NPE1" s="235"/>
      <c r="NPF1" s="235"/>
      <c r="NPG1" s="235"/>
      <c r="NPH1" s="235"/>
      <c r="NPI1" s="235"/>
      <c r="NPJ1" s="235"/>
      <c r="NPK1" s="235"/>
      <c r="NPL1" s="235"/>
      <c r="NPM1" s="235"/>
      <c r="NPN1" s="235"/>
      <c r="NPO1" s="235"/>
      <c r="NPP1" s="235"/>
      <c r="NPQ1" s="235"/>
      <c r="NPR1" s="235"/>
      <c r="NPS1" s="235"/>
      <c r="NPT1" s="235"/>
      <c r="NPU1" s="235"/>
      <c r="NPV1" s="235"/>
      <c r="NPW1" s="235"/>
      <c r="NPX1" s="235"/>
      <c r="NPY1" s="235"/>
      <c r="NPZ1" s="235"/>
      <c r="NQA1" s="235"/>
      <c r="NQB1" s="235"/>
      <c r="NQC1" s="235"/>
      <c r="NQD1" s="235"/>
      <c r="NQE1" s="235"/>
      <c r="NQF1" s="235"/>
      <c r="NQG1" s="235"/>
      <c r="NQH1" s="235"/>
      <c r="NQI1" s="235"/>
      <c r="NQJ1" s="235"/>
      <c r="NQK1" s="235"/>
      <c r="NQL1" s="235"/>
      <c r="NQM1" s="235"/>
      <c r="NQN1" s="235"/>
      <c r="NQO1" s="235"/>
      <c r="NQP1" s="235"/>
      <c r="NQQ1" s="235"/>
      <c r="NQR1" s="235"/>
      <c r="NQS1" s="235"/>
      <c r="NQT1" s="235"/>
      <c r="NQU1" s="235"/>
      <c r="NQV1" s="235"/>
      <c r="NQW1" s="235"/>
      <c r="NQX1" s="235"/>
      <c r="NQY1" s="235"/>
      <c r="NQZ1" s="235"/>
      <c r="NRA1" s="235"/>
      <c r="NRB1" s="235"/>
      <c r="NRC1" s="235"/>
      <c r="NRD1" s="235"/>
      <c r="NRE1" s="235"/>
      <c r="NRF1" s="235"/>
      <c r="NRG1" s="235"/>
      <c r="NRH1" s="235"/>
      <c r="NRI1" s="235"/>
      <c r="NRJ1" s="235"/>
      <c r="NRK1" s="235"/>
      <c r="NRL1" s="235"/>
      <c r="NRM1" s="235"/>
      <c r="NRN1" s="235"/>
      <c r="NRO1" s="235"/>
      <c r="NRP1" s="235"/>
      <c r="NRQ1" s="235"/>
      <c r="NRR1" s="235"/>
      <c r="NRS1" s="235"/>
      <c r="NRT1" s="235"/>
      <c r="NRU1" s="235"/>
      <c r="NRV1" s="235"/>
      <c r="NRW1" s="235"/>
      <c r="NRX1" s="235"/>
      <c r="NRY1" s="235"/>
      <c r="NRZ1" s="235"/>
      <c r="NSA1" s="235"/>
      <c r="NSB1" s="235"/>
      <c r="NSC1" s="235"/>
      <c r="NSD1" s="235"/>
      <c r="NSE1" s="235"/>
      <c r="NSF1" s="235"/>
      <c r="NSG1" s="235"/>
      <c r="NSH1" s="235"/>
      <c r="NSI1" s="235"/>
      <c r="NSJ1" s="235"/>
      <c r="NSK1" s="235"/>
      <c r="NSL1" s="235"/>
      <c r="NSM1" s="235"/>
      <c r="NSN1" s="235"/>
      <c r="NSO1" s="235"/>
      <c r="NSP1" s="235"/>
      <c r="NSQ1" s="235"/>
      <c r="NSR1" s="235"/>
      <c r="NSS1" s="235"/>
      <c r="NST1" s="235"/>
      <c r="NSU1" s="235"/>
      <c r="NSV1" s="235"/>
      <c r="NSW1" s="235"/>
      <c r="NSX1" s="235"/>
      <c r="NSY1" s="235"/>
      <c r="NSZ1" s="235"/>
      <c r="NTA1" s="235"/>
      <c r="NTB1" s="235"/>
      <c r="NTC1" s="235"/>
      <c r="NTD1" s="235"/>
      <c r="NTE1" s="235"/>
      <c r="NTF1" s="235"/>
      <c r="NTG1" s="235"/>
      <c r="NTH1" s="235"/>
      <c r="NTI1" s="235"/>
      <c r="NTJ1" s="235"/>
      <c r="NTK1" s="235"/>
      <c r="NTL1" s="235"/>
      <c r="NTM1" s="235"/>
      <c r="NTN1" s="235"/>
      <c r="NTO1" s="235"/>
      <c r="NTP1" s="235"/>
      <c r="NTQ1" s="235"/>
      <c r="NTR1" s="235"/>
      <c r="NTS1" s="235"/>
      <c r="NTT1" s="235"/>
      <c r="NTU1" s="235"/>
      <c r="NTV1" s="235"/>
      <c r="NTW1" s="235"/>
      <c r="NTX1" s="235"/>
      <c r="NTY1" s="235"/>
      <c r="NTZ1" s="235"/>
      <c r="NUA1" s="235"/>
      <c r="NUB1" s="235"/>
      <c r="NUC1" s="235"/>
      <c r="NUD1" s="235"/>
      <c r="NUE1" s="235"/>
      <c r="NUF1" s="235"/>
      <c r="NUG1" s="235"/>
      <c r="NUH1" s="235"/>
      <c r="NUI1" s="235"/>
      <c r="NUJ1" s="235"/>
      <c r="NUK1" s="235"/>
      <c r="NUL1" s="235"/>
      <c r="NUM1" s="235"/>
      <c r="NUN1" s="235"/>
      <c r="NUO1" s="235"/>
      <c r="NUP1" s="235"/>
      <c r="NUQ1" s="235"/>
      <c r="NUR1" s="235"/>
      <c r="NUS1" s="235"/>
      <c r="NUT1" s="235"/>
      <c r="NUU1" s="235"/>
      <c r="NUV1" s="235"/>
      <c r="NUW1" s="235"/>
      <c r="NUX1" s="235"/>
      <c r="NUY1" s="235"/>
      <c r="NUZ1" s="235"/>
      <c r="NVA1" s="235"/>
      <c r="NVB1" s="235"/>
      <c r="NVC1" s="235"/>
      <c r="NVD1" s="235"/>
      <c r="NVE1" s="235"/>
      <c r="NVF1" s="235"/>
      <c r="NVG1" s="235"/>
      <c r="NVH1" s="235"/>
      <c r="NVI1" s="235"/>
      <c r="NVJ1" s="235"/>
      <c r="NVK1" s="235"/>
      <c r="NVL1" s="235"/>
      <c r="NVM1" s="235"/>
      <c r="NVN1" s="235"/>
      <c r="NVO1" s="235"/>
      <c r="NVP1" s="235"/>
      <c r="NVQ1" s="235"/>
      <c r="NVR1" s="235"/>
      <c r="NVS1" s="235"/>
      <c r="NVT1" s="235"/>
      <c r="NVU1" s="235"/>
      <c r="NVV1" s="235"/>
      <c r="NVW1" s="235"/>
      <c r="NVX1" s="235"/>
      <c r="NVY1" s="235"/>
      <c r="NVZ1" s="235"/>
      <c r="NWA1" s="235"/>
      <c r="NWB1" s="235"/>
      <c r="NWC1" s="235"/>
      <c r="NWD1" s="235"/>
      <c r="NWE1" s="235"/>
      <c r="NWF1" s="235"/>
      <c r="NWG1" s="235"/>
      <c r="NWH1" s="235"/>
      <c r="NWI1" s="235"/>
      <c r="NWJ1" s="235"/>
      <c r="NWK1" s="235"/>
      <c r="NWL1" s="235"/>
      <c r="NWM1" s="235"/>
      <c r="NWN1" s="235"/>
      <c r="NWO1" s="235"/>
      <c r="NWP1" s="235"/>
      <c r="NWQ1" s="235"/>
      <c r="NWR1" s="235"/>
      <c r="NWS1" s="235"/>
      <c r="NWT1" s="235"/>
      <c r="NWU1" s="235"/>
      <c r="NWV1" s="235"/>
      <c r="NWW1" s="235"/>
      <c r="NWX1" s="235"/>
      <c r="NWY1" s="235"/>
      <c r="NWZ1" s="235"/>
      <c r="NXA1" s="235"/>
      <c r="NXB1" s="235"/>
      <c r="NXC1" s="235"/>
      <c r="NXD1" s="235"/>
      <c r="NXE1" s="235"/>
      <c r="NXF1" s="235"/>
      <c r="NXG1" s="235"/>
      <c r="NXH1" s="235"/>
      <c r="NXI1" s="235"/>
      <c r="NXJ1" s="235"/>
      <c r="NXK1" s="235"/>
      <c r="NXL1" s="235"/>
      <c r="NXM1" s="235"/>
      <c r="NXN1" s="235"/>
      <c r="NXO1" s="235"/>
      <c r="NXP1" s="235"/>
      <c r="NXQ1" s="235"/>
      <c r="NXR1" s="235"/>
      <c r="NXS1" s="235"/>
      <c r="NXT1" s="235"/>
      <c r="NXU1" s="235"/>
      <c r="NXV1" s="235"/>
      <c r="NXW1" s="235"/>
      <c r="NXX1" s="235"/>
      <c r="NXY1" s="235"/>
      <c r="NXZ1" s="235"/>
      <c r="NYA1" s="235"/>
      <c r="NYB1" s="235"/>
      <c r="NYC1" s="235"/>
      <c r="NYD1" s="235"/>
      <c r="NYE1" s="235"/>
      <c r="NYF1" s="235"/>
      <c r="NYG1" s="235"/>
      <c r="NYH1" s="235"/>
      <c r="NYI1" s="235"/>
      <c r="NYJ1" s="235"/>
      <c r="NYK1" s="235"/>
      <c r="NYL1" s="235"/>
      <c r="NYM1" s="235"/>
      <c r="NYN1" s="235"/>
      <c r="NYO1" s="235"/>
      <c r="NYP1" s="235"/>
      <c r="NYQ1" s="235"/>
      <c r="NYR1" s="235"/>
      <c r="NYS1" s="235"/>
      <c r="NYT1" s="235"/>
      <c r="NYU1" s="235"/>
      <c r="NYV1" s="235"/>
      <c r="NYW1" s="235"/>
      <c r="NYX1" s="235"/>
      <c r="NYY1" s="235"/>
      <c r="NYZ1" s="235"/>
      <c r="NZA1" s="235"/>
      <c r="NZB1" s="235"/>
      <c r="NZC1" s="235"/>
      <c r="NZD1" s="235"/>
      <c r="NZE1" s="235"/>
      <c r="NZF1" s="235"/>
      <c r="NZG1" s="235"/>
      <c r="NZH1" s="235"/>
      <c r="NZI1" s="235"/>
      <c r="NZJ1" s="235"/>
      <c r="NZK1" s="235"/>
      <c r="NZL1" s="235"/>
      <c r="NZM1" s="235"/>
      <c r="NZN1" s="235"/>
      <c r="NZO1" s="235"/>
      <c r="NZP1" s="235"/>
      <c r="NZQ1" s="235"/>
      <c r="NZR1" s="235"/>
      <c r="NZS1" s="235"/>
      <c r="NZT1" s="235"/>
      <c r="NZU1" s="235"/>
      <c r="NZV1" s="235"/>
      <c r="NZW1" s="235"/>
      <c r="NZX1" s="235"/>
      <c r="NZY1" s="235"/>
      <c r="NZZ1" s="235"/>
      <c r="OAA1" s="235"/>
      <c r="OAB1" s="235"/>
      <c r="OAC1" s="235"/>
      <c r="OAD1" s="235"/>
      <c r="OAE1" s="235"/>
      <c r="OAF1" s="235"/>
      <c r="OAG1" s="235"/>
      <c r="OAH1" s="235"/>
      <c r="OAI1" s="235"/>
      <c r="OAJ1" s="235"/>
      <c r="OAK1" s="235"/>
      <c r="OAL1" s="235"/>
      <c r="OAM1" s="235"/>
      <c r="OAN1" s="235"/>
      <c r="OAO1" s="235"/>
      <c r="OAP1" s="235"/>
      <c r="OAQ1" s="235"/>
      <c r="OAR1" s="235"/>
      <c r="OAS1" s="235"/>
      <c r="OAT1" s="235"/>
      <c r="OAU1" s="235"/>
      <c r="OAV1" s="235"/>
      <c r="OAW1" s="235"/>
      <c r="OAX1" s="235"/>
      <c r="OAY1" s="235"/>
      <c r="OAZ1" s="235"/>
      <c r="OBA1" s="235"/>
      <c r="OBB1" s="235"/>
      <c r="OBC1" s="235"/>
      <c r="OBD1" s="235"/>
      <c r="OBE1" s="235"/>
      <c r="OBF1" s="235"/>
      <c r="OBG1" s="235"/>
      <c r="OBH1" s="235"/>
      <c r="OBI1" s="235"/>
      <c r="OBJ1" s="235"/>
      <c r="OBK1" s="235"/>
      <c r="OBL1" s="235"/>
      <c r="OBM1" s="235"/>
      <c r="OBN1" s="235"/>
      <c r="OBO1" s="235"/>
      <c r="OBP1" s="235"/>
      <c r="OBQ1" s="235"/>
      <c r="OBR1" s="235"/>
      <c r="OBS1" s="235"/>
      <c r="OBT1" s="235"/>
      <c r="OBU1" s="235"/>
      <c r="OBV1" s="235"/>
      <c r="OBW1" s="235"/>
      <c r="OBX1" s="235"/>
      <c r="OBY1" s="235"/>
      <c r="OBZ1" s="235"/>
      <c r="OCA1" s="235"/>
      <c r="OCB1" s="235"/>
      <c r="OCC1" s="235"/>
      <c r="OCD1" s="235"/>
      <c r="OCE1" s="235"/>
      <c r="OCF1" s="235"/>
      <c r="OCG1" s="235"/>
      <c r="OCH1" s="235"/>
      <c r="OCI1" s="235"/>
      <c r="OCJ1" s="235"/>
      <c r="OCK1" s="235"/>
      <c r="OCL1" s="235"/>
      <c r="OCM1" s="235"/>
      <c r="OCN1" s="235"/>
      <c r="OCO1" s="235"/>
      <c r="OCP1" s="235"/>
      <c r="OCQ1" s="235"/>
      <c r="OCR1" s="235"/>
      <c r="OCS1" s="235"/>
      <c r="OCT1" s="235"/>
      <c r="OCU1" s="235"/>
      <c r="OCV1" s="235"/>
      <c r="OCW1" s="235"/>
      <c r="OCX1" s="235"/>
      <c r="OCY1" s="235"/>
      <c r="OCZ1" s="235"/>
      <c r="ODA1" s="235"/>
      <c r="ODB1" s="235"/>
      <c r="ODC1" s="235"/>
      <c r="ODD1" s="235"/>
      <c r="ODE1" s="235"/>
      <c r="ODF1" s="235"/>
      <c r="ODG1" s="235"/>
      <c r="ODH1" s="235"/>
      <c r="ODI1" s="235"/>
      <c r="ODJ1" s="235"/>
      <c r="ODK1" s="235"/>
      <c r="ODL1" s="235"/>
      <c r="ODM1" s="235"/>
      <c r="ODN1" s="235"/>
      <c r="ODO1" s="235"/>
      <c r="ODP1" s="235"/>
      <c r="ODQ1" s="235"/>
      <c r="ODR1" s="235"/>
      <c r="ODS1" s="235"/>
      <c r="ODT1" s="235"/>
      <c r="ODU1" s="235"/>
      <c r="ODV1" s="235"/>
      <c r="ODW1" s="235"/>
      <c r="ODX1" s="235"/>
      <c r="ODY1" s="235"/>
      <c r="ODZ1" s="235"/>
      <c r="OEA1" s="235"/>
      <c r="OEB1" s="235"/>
      <c r="OEC1" s="235"/>
      <c r="OED1" s="235"/>
      <c r="OEE1" s="235"/>
      <c r="OEF1" s="235"/>
      <c r="OEG1" s="235"/>
      <c r="OEH1" s="235"/>
      <c r="OEI1" s="235"/>
      <c r="OEJ1" s="235"/>
      <c r="OEK1" s="235"/>
      <c r="OEL1" s="235"/>
      <c r="OEM1" s="235"/>
      <c r="OEN1" s="235"/>
      <c r="OEO1" s="235"/>
      <c r="OEP1" s="235"/>
      <c r="OEQ1" s="235"/>
      <c r="OER1" s="235"/>
      <c r="OES1" s="235"/>
      <c r="OET1" s="235"/>
      <c r="OEU1" s="235"/>
      <c r="OEV1" s="235"/>
      <c r="OEW1" s="235"/>
      <c r="OEX1" s="235"/>
      <c r="OEY1" s="235"/>
      <c r="OEZ1" s="235"/>
      <c r="OFA1" s="235"/>
      <c r="OFB1" s="235"/>
      <c r="OFC1" s="235"/>
      <c r="OFD1" s="235"/>
      <c r="OFE1" s="235"/>
      <c r="OFF1" s="235"/>
      <c r="OFG1" s="235"/>
      <c r="OFH1" s="235"/>
      <c r="OFI1" s="235"/>
      <c r="OFJ1" s="235"/>
      <c r="OFK1" s="235"/>
      <c r="OFL1" s="235"/>
      <c r="OFM1" s="235"/>
      <c r="OFN1" s="235"/>
      <c r="OFO1" s="235"/>
      <c r="OFP1" s="235"/>
      <c r="OFQ1" s="235"/>
      <c r="OFR1" s="235"/>
      <c r="OFS1" s="235"/>
      <c r="OFT1" s="235"/>
      <c r="OFU1" s="235"/>
      <c r="OFV1" s="235"/>
      <c r="OFW1" s="235"/>
      <c r="OFX1" s="235"/>
      <c r="OFY1" s="235"/>
      <c r="OFZ1" s="235"/>
      <c r="OGA1" s="235"/>
      <c r="OGB1" s="235"/>
      <c r="OGC1" s="235"/>
      <c r="OGD1" s="235"/>
      <c r="OGE1" s="235"/>
      <c r="OGF1" s="235"/>
      <c r="OGG1" s="235"/>
      <c r="OGH1" s="235"/>
      <c r="OGI1" s="235"/>
      <c r="OGJ1" s="235"/>
      <c r="OGK1" s="235"/>
      <c r="OGL1" s="235"/>
      <c r="OGM1" s="235"/>
      <c r="OGN1" s="235"/>
      <c r="OGO1" s="235"/>
      <c r="OGP1" s="235"/>
      <c r="OGQ1" s="235"/>
      <c r="OGR1" s="235"/>
      <c r="OGS1" s="235"/>
      <c r="OGT1" s="235"/>
      <c r="OGU1" s="235"/>
      <c r="OGV1" s="235"/>
      <c r="OGW1" s="235"/>
      <c r="OGX1" s="235"/>
      <c r="OGY1" s="235"/>
      <c r="OGZ1" s="235"/>
      <c r="OHA1" s="235"/>
      <c r="OHB1" s="235"/>
      <c r="OHC1" s="235"/>
      <c r="OHD1" s="235"/>
      <c r="OHE1" s="235"/>
      <c r="OHF1" s="235"/>
      <c r="OHG1" s="235"/>
      <c r="OHH1" s="235"/>
      <c r="OHI1" s="235"/>
      <c r="OHJ1" s="235"/>
      <c r="OHK1" s="235"/>
      <c r="OHL1" s="235"/>
      <c r="OHM1" s="235"/>
      <c r="OHN1" s="235"/>
      <c r="OHO1" s="235"/>
      <c r="OHP1" s="235"/>
      <c r="OHQ1" s="235"/>
      <c r="OHR1" s="235"/>
      <c r="OHS1" s="235"/>
      <c r="OHT1" s="235"/>
      <c r="OHU1" s="235"/>
      <c r="OHV1" s="235"/>
      <c r="OHW1" s="235"/>
      <c r="OHX1" s="235"/>
      <c r="OHY1" s="235"/>
      <c r="OHZ1" s="235"/>
      <c r="OIA1" s="235"/>
      <c r="OIB1" s="235"/>
      <c r="OIC1" s="235"/>
      <c r="OID1" s="235"/>
      <c r="OIE1" s="235"/>
      <c r="OIF1" s="235"/>
      <c r="OIG1" s="235"/>
      <c r="OIH1" s="235"/>
      <c r="OII1" s="235"/>
      <c r="OIJ1" s="235"/>
      <c r="OIK1" s="235"/>
      <c r="OIL1" s="235"/>
      <c r="OIM1" s="235"/>
      <c r="OIN1" s="235"/>
      <c r="OIO1" s="235"/>
      <c r="OIP1" s="235"/>
      <c r="OIQ1" s="235"/>
      <c r="OIR1" s="235"/>
      <c r="OIS1" s="235"/>
      <c r="OIT1" s="235"/>
      <c r="OIU1" s="235"/>
      <c r="OIV1" s="235"/>
      <c r="OIW1" s="235"/>
      <c r="OIX1" s="235"/>
      <c r="OIY1" s="235"/>
      <c r="OIZ1" s="235"/>
      <c r="OJA1" s="235"/>
      <c r="OJB1" s="235"/>
      <c r="OJC1" s="235"/>
      <c r="OJD1" s="235"/>
      <c r="OJE1" s="235"/>
      <c r="OJF1" s="235"/>
      <c r="OJG1" s="235"/>
      <c r="OJH1" s="235"/>
      <c r="OJI1" s="235"/>
      <c r="OJJ1" s="235"/>
      <c r="OJK1" s="235"/>
      <c r="OJL1" s="235"/>
      <c r="OJM1" s="235"/>
      <c r="OJN1" s="235"/>
      <c r="OJO1" s="235"/>
      <c r="OJP1" s="235"/>
      <c r="OJQ1" s="235"/>
      <c r="OJR1" s="235"/>
      <c r="OJS1" s="235"/>
      <c r="OJT1" s="235"/>
      <c r="OJU1" s="235"/>
      <c r="OJV1" s="235"/>
      <c r="OJW1" s="235"/>
      <c r="OJX1" s="235"/>
      <c r="OJY1" s="235"/>
      <c r="OJZ1" s="235"/>
      <c r="OKA1" s="235"/>
      <c r="OKB1" s="235"/>
      <c r="OKC1" s="235"/>
      <c r="OKD1" s="235"/>
      <c r="OKE1" s="235"/>
      <c r="OKF1" s="235"/>
      <c r="OKG1" s="235"/>
      <c r="OKH1" s="235"/>
      <c r="OKI1" s="235"/>
      <c r="OKJ1" s="235"/>
      <c r="OKK1" s="235"/>
      <c r="OKL1" s="235"/>
      <c r="OKM1" s="235"/>
      <c r="OKN1" s="235"/>
      <c r="OKO1" s="235"/>
      <c r="OKP1" s="235"/>
      <c r="OKQ1" s="235"/>
      <c r="OKR1" s="235"/>
      <c r="OKS1" s="235"/>
      <c r="OKT1" s="235"/>
      <c r="OKU1" s="235"/>
      <c r="OKV1" s="235"/>
      <c r="OKW1" s="235"/>
      <c r="OKX1" s="235"/>
      <c r="OKY1" s="235"/>
      <c r="OKZ1" s="235"/>
      <c r="OLA1" s="235"/>
      <c r="OLB1" s="235"/>
      <c r="OLC1" s="235"/>
      <c r="OLD1" s="235"/>
      <c r="OLE1" s="235"/>
      <c r="OLF1" s="235"/>
      <c r="OLG1" s="235"/>
      <c r="OLH1" s="235"/>
      <c r="OLI1" s="235"/>
      <c r="OLJ1" s="235"/>
      <c r="OLK1" s="235"/>
      <c r="OLL1" s="235"/>
      <c r="OLM1" s="235"/>
      <c r="OLN1" s="235"/>
      <c r="OLO1" s="235"/>
      <c r="OLP1" s="235"/>
      <c r="OLQ1" s="235"/>
      <c r="OLR1" s="235"/>
      <c r="OLS1" s="235"/>
      <c r="OLT1" s="235"/>
      <c r="OLU1" s="235"/>
      <c r="OLV1" s="235"/>
      <c r="OLW1" s="235"/>
      <c r="OLX1" s="235"/>
      <c r="OLY1" s="235"/>
      <c r="OLZ1" s="235"/>
      <c r="OMA1" s="235"/>
      <c r="OMB1" s="235"/>
      <c r="OMC1" s="235"/>
      <c r="OMD1" s="235"/>
      <c r="OME1" s="235"/>
      <c r="OMF1" s="235"/>
      <c r="OMG1" s="235"/>
      <c r="OMH1" s="235"/>
      <c r="OMI1" s="235"/>
      <c r="OMJ1" s="235"/>
      <c r="OMK1" s="235"/>
      <c r="OML1" s="235"/>
      <c r="OMM1" s="235"/>
      <c r="OMN1" s="235"/>
      <c r="OMO1" s="235"/>
      <c r="OMP1" s="235"/>
      <c r="OMQ1" s="235"/>
      <c r="OMR1" s="235"/>
      <c r="OMS1" s="235"/>
      <c r="OMT1" s="235"/>
      <c r="OMU1" s="235"/>
      <c r="OMV1" s="235"/>
      <c r="OMW1" s="235"/>
      <c r="OMX1" s="235"/>
      <c r="OMY1" s="235"/>
      <c r="OMZ1" s="235"/>
      <c r="ONA1" s="235"/>
      <c r="ONB1" s="235"/>
      <c r="ONC1" s="235"/>
      <c r="OND1" s="235"/>
      <c r="ONE1" s="235"/>
      <c r="ONF1" s="235"/>
      <c r="ONG1" s="235"/>
      <c r="ONH1" s="235"/>
      <c r="ONI1" s="235"/>
      <c r="ONJ1" s="235"/>
      <c r="ONK1" s="235"/>
      <c r="ONL1" s="235"/>
      <c r="ONM1" s="235"/>
      <c r="ONN1" s="235"/>
      <c r="ONO1" s="235"/>
      <c r="ONP1" s="235"/>
      <c r="ONQ1" s="235"/>
      <c r="ONR1" s="235"/>
      <c r="ONS1" s="235"/>
      <c r="ONT1" s="235"/>
      <c r="ONU1" s="235"/>
      <c r="ONV1" s="235"/>
      <c r="ONW1" s="235"/>
      <c r="ONX1" s="235"/>
      <c r="ONY1" s="235"/>
      <c r="ONZ1" s="235"/>
      <c r="OOA1" s="235"/>
      <c r="OOB1" s="235"/>
      <c r="OOC1" s="235"/>
      <c r="OOD1" s="235"/>
      <c r="OOE1" s="235"/>
      <c r="OOF1" s="235"/>
      <c r="OOG1" s="235"/>
      <c r="OOH1" s="235"/>
      <c r="OOI1" s="235"/>
      <c r="OOJ1" s="235"/>
      <c r="OOK1" s="235"/>
      <c r="OOL1" s="235"/>
      <c r="OOM1" s="235"/>
      <c r="OON1" s="235"/>
      <c r="OOO1" s="235"/>
      <c r="OOP1" s="235"/>
      <c r="OOQ1" s="235"/>
      <c r="OOR1" s="235"/>
      <c r="OOS1" s="235"/>
      <c r="OOT1" s="235"/>
      <c r="OOU1" s="235"/>
      <c r="OOV1" s="235"/>
      <c r="OOW1" s="235"/>
      <c r="OOX1" s="235"/>
      <c r="OOY1" s="235"/>
      <c r="OOZ1" s="235"/>
      <c r="OPA1" s="235"/>
      <c r="OPB1" s="235"/>
      <c r="OPC1" s="235"/>
      <c r="OPD1" s="235"/>
      <c r="OPE1" s="235"/>
      <c r="OPF1" s="235"/>
      <c r="OPG1" s="235"/>
      <c r="OPH1" s="235"/>
      <c r="OPI1" s="235"/>
      <c r="OPJ1" s="235"/>
      <c r="OPK1" s="235"/>
      <c r="OPL1" s="235"/>
      <c r="OPM1" s="235"/>
      <c r="OPN1" s="235"/>
      <c r="OPO1" s="235"/>
      <c r="OPP1" s="235"/>
      <c r="OPQ1" s="235"/>
      <c r="OPR1" s="235"/>
      <c r="OPS1" s="235"/>
      <c r="OPT1" s="235"/>
      <c r="OPU1" s="235"/>
      <c r="OPV1" s="235"/>
      <c r="OPW1" s="235"/>
      <c r="OPX1" s="235"/>
      <c r="OPY1" s="235"/>
      <c r="OPZ1" s="235"/>
      <c r="OQA1" s="235"/>
      <c r="OQB1" s="235"/>
      <c r="OQC1" s="235"/>
      <c r="OQD1" s="235"/>
      <c r="OQE1" s="235"/>
      <c r="OQF1" s="235"/>
      <c r="OQG1" s="235"/>
      <c r="OQH1" s="235"/>
      <c r="OQI1" s="235"/>
      <c r="OQJ1" s="235"/>
      <c r="OQK1" s="235"/>
      <c r="OQL1" s="235"/>
      <c r="OQM1" s="235"/>
      <c r="OQN1" s="235"/>
      <c r="OQO1" s="235"/>
      <c r="OQP1" s="235"/>
      <c r="OQQ1" s="235"/>
      <c r="OQR1" s="235"/>
      <c r="OQS1" s="235"/>
      <c r="OQT1" s="235"/>
      <c r="OQU1" s="235"/>
      <c r="OQV1" s="235"/>
      <c r="OQW1" s="235"/>
      <c r="OQX1" s="235"/>
      <c r="OQY1" s="235"/>
      <c r="OQZ1" s="235"/>
      <c r="ORA1" s="235"/>
      <c r="ORB1" s="235"/>
      <c r="ORC1" s="235"/>
      <c r="ORD1" s="235"/>
      <c r="ORE1" s="235"/>
      <c r="ORF1" s="235"/>
      <c r="ORG1" s="235"/>
      <c r="ORH1" s="235"/>
      <c r="ORI1" s="235"/>
      <c r="ORJ1" s="235"/>
      <c r="ORK1" s="235"/>
      <c r="ORL1" s="235"/>
      <c r="ORM1" s="235"/>
      <c r="ORN1" s="235"/>
      <c r="ORO1" s="235"/>
      <c r="ORP1" s="235"/>
      <c r="ORQ1" s="235"/>
      <c r="ORR1" s="235"/>
      <c r="ORS1" s="235"/>
      <c r="ORT1" s="235"/>
      <c r="ORU1" s="235"/>
      <c r="ORV1" s="235"/>
      <c r="ORW1" s="235"/>
      <c r="ORX1" s="235"/>
      <c r="ORY1" s="235"/>
      <c r="ORZ1" s="235"/>
      <c r="OSA1" s="235"/>
      <c r="OSB1" s="235"/>
      <c r="OSC1" s="235"/>
      <c r="OSD1" s="235"/>
      <c r="OSE1" s="235"/>
      <c r="OSF1" s="235"/>
      <c r="OSG1" s="235"/>
      <c r="OSH1" s="235"/>
      <c r="OSI1" s="235"/>
      <c r="OSJ1" s="235"/>
      <c r="OSK1" s="235"/>
      <c r="OSL1" s="235"/>
      <c r="OSM1" s="235"/>
      <c r="OSN1" s="235"/>
      <c r="OSO1" s="235"/>
      <c r="OSP1" s="235"/>
      <c r="OSQ1" s="235"/>
      <c r="OSR1" s="235"/>
      <c r="OSS1" s="235"/>
      <c r="OST1" s="235"/>
      <c r="OSU1" s="235"/>
      <c r="OSV1" s="235"/>
      <c r="OSW1" s="235"/>
      <c r="OSX1" s="235"/>
      <c r="OSY1" s="235"/>
      <c r="OSZ1" s="235"/>
      <c r="OTA1" s="235"/>
      <c r="OTB1" s="235"/>
      <c r="OTC1" s="235"/>
      <c r="OTD1" s="235"/>
      <c r="OTE1" s="235"/>
      <c r="OTF1" s="235"/>
      <c r="OTG1" s="235"/>
      <c r="OTH1" s="235"/>
      <c r="OTI1" s="235"/>
      <c r="OTJ1" s="235"/>
      <c r="OTK1" s="235"/>
      <c r="OTL1" s="235"/>
      <c r="OTM1" s="235"/>
      <c r="OTN1" s="235"/>
      <c r="OTO1" s="235"/>
      <c r="OTP1" s="235"/>
      <c r="OTQ1" s="235"/>
      <c r="OTR1" s="235"/>
      <c r="OTS1" s="235"/>
      <c r="OTT1" s="235"/>
      <c r="OTU1" s="235"/>
      <c r="OTV1" s="235"/>
      <c r="OTW1" s="235"/>
      <c r="OTX1" s="235"/>
      <c r="OTY1" s="235"/>
      <c r="OTZ1" s="235"/>
      <c r="OUA1" s="235"/>
      <c r="OUB1" s="235"/>
      <c r="OUC1" s="235"/>
      <c r="OUD1" s="235"/>
      <c r="OUE1" s="235"/>
      <c r="OUF1" s="235"/>
      <c r="OUG1" s="235"/>
      <c r="OUH1" s="235"/>
      <c r="OUI1" s="235"/>
      <c r="OUJ1" s="235"/>
      <c r="OUK1" s="235"/>
      <c r="OUL1" s="235"/>
      <c r="OUM1" s="235"/>
      <c r="OUN1" s="235"/>
      <c r="OUO1" s="235"/>
      <c r="OUP1" s="235"/>
      <c r="OUQ1" s="235"/>
      <c r="OUR1" s="235"/>
      <c r="OUS1" s="235"/>
      <c r="OUT1" s="235"/>
      <c r="OUU1" s="235"/>
      <c r="OUV1" s="235"/>
      <c r="OUW1" s="235"/>
      <c r="OUX1" s="235"/>
      <c r="OUY1" s="235"/>
      <c r="OUZ1" s="235"/>
      <c r="OVA1" s="235"/>
      <c r="OVB1" s="235"/>
      <c r="OVC1" s="235"/>
      <c r="OVD1" s="235"/>
      <c r="OVE1" s="235"/>
      <c r="OVF1" s="235"/>
      <c r="OVG1" s="235"/>
      <c r="OVH1" s="235"/>
      <c r="OVI1" s="235"/>
      <c r="OVJ1" s="235"/>
      <c r="OVK1" s="235"/>
      <c r="OVL1" s="235"/>
      <c r="OVM1" s="235"/>
      <c r="OVN1" s="235"/>
      <c r="OVO1" s="235"/>
      <c r="OVP1" s="235"/>
      <c r="OVQ1" s="235"/>
      <c r="OVR1" s="235"/>
      <c r="OVS1" s="235"/>
      <c r="OVT1" s="235"/>
      <c r="OVU1" s="235"/>
      <c r="OVV1" s="235"/>
      <c r="OVW1" s="235"/>
      <c r="OVX1" s="235"/>
      <c r="OVY1" s="235"/>
      <c r="OVZ1" s="235"/>
      <c r="OWA1" s="235"/>
      <c r="OWB1" s="235"/>
      <c r="OWC1" s="235"/>
      <c r="OWD1" s="235"/>
      <c r="OWE1" s="235"/>
      <c r="OWF1" s="235"/>
      <c r="OWG1" s="235"/>
      <c r="OWH1" s="235"/>
      <c r="OWI1" s="235"/>
      <c r="OWJ1" s="235"/>
      <c r="OWK1" s="235"/>
      <c r="OWL1" s="235"/>
      <c r="OWM1" s="235"/>
      <c r="OWN1" s="235"/>
      <c r="OWO1" s="235"/>
      <c r="OWP1" s="235"/>
      <c r="OWQ1" s="235"/>
      <c r="OWR1" s="235"/>
      <c r="OWS1" s="235"/>
      <c r="OWT1" s="235"/>
      <c r="OWU1" s="235"/>
      <c r="OWV1" s="235"/>
      <c r="OWW1" s="235"/>
      <c r="OWX1" s="235"/>
      <c r="OWY1" s="235"/>
      <c r="OWZ1" s="235"/>
      <c r="OXA1" s="235"/>
      <c r="OXB1" s="235"/>
      <c r="OXC1" s="235"/>
      <c r="OXD1" s="235"/>
      <c r="OXE1" s="235"/>
      <c r="OXF1" s="235"/>
      <c r="OXG1" s="235"/>
      <c r="OXH1" s="235"/>
      <c r="OXI1" s="235"/>
      <c r="OXJ1" s="235"/>
      <c r="OXK1" s="235"/>
      <c r="OXL1" s="235"/>
      <c r="OXM1" s="235"/>
      <c r="OXN1" s="235"/>
      <c r="OXO1" s="235"/>
      <c r="OXP1" s="235"/>
      <c r="OXQ1" s="235"/>
      <c r="OXR1" s="235"/>
      <c r="OXS1" s="235"/>
      <c r="OXT1" s="235"/>
      <c r="OXU1" s="235"/>
      <c r="OXV1" s="235"/>
      <c r="OXW1" s="235"/>
      <c r="OXX1" s="235"/>
      <c r="OXY1" s="235"/>
      <c r="OXZ1" s="235"/>
      <c r="OYA1" s="235"/>
      <c r="OYB1" s="235"/>
      <c r="OYC1" s="235"/>
      <c r="OYD1" s="235"/>
      <c r="OYE1" s="235"/>
      <c r="OYF1" s="235"/>
      <c r="OYG1" s="235"/>
      <c r="OYH1" s="235"/>
      <c r="OYI1" s="235"/>
      <c r="OYJ1" s="235"/>
      <c r="OYK1" s="235"/>
      <c r="OYL1" s="235"/>
      <c r="OYM1" s="235"/>
      <c r="OYN1" s="235"/>
      <c r="OYO1" s="235"/>
      <c r="OYP1" s="235"/>
      <c r="OYQ1" s="235"/>
      <c r="OYR1" s="235"/>
      <c r="OYS1" s="235"/>
      <c r="OYT1" s="235"/>
      <c r="OYU1" s="235"/>
      <c r="OYV1" s="235"/>
      <c r="OYW1" s="235"/>
      <c r="OYX1" s="235"/>
      <c r="OYY1" s="235"/>
      <c r="OYZ1" s="235"/>
      <c r="OZA1" s="235"/>
      <c r="OZB1" s="235"/>
      <c r="OZC1" s="235"/>
      <c r="OZD1" s="235"/>
      <c r="OZE1" s="235"/>
      <c r="OZF1" s="235"/>
      <c r="OZG1" s="235"/>
      <c r="OZH1" s="235"/>
      <c r="OZI1" s="235"/>
      <c r="OZJ1" s="235"/>
      <c r="OZK1" s="235"/>
      <c r="OZL1" s="235"/>
      <c r="OZM1" s="235"/>
      <c r="OZN1" s="235"/>
      <c r="OZO1" s="235"/>
      <c r="OZP1" s="235"/>
      <c r="OZQ1" s="235"/>
      <c r="OZR1" s="235"/>
      <c r="OZS1" s="235"/>
      <c r="OZT1" s="235"/>
      <c r="OZU1" s="235"/>
      <c r="OZV1" s="235"/>
      <c r="OZW1" s="235"/>
      <c r="OZX1" s="235"/>
      <c r="OZY1" s="235"/>
      <c r="OZZ1" s="235"/>
      <c r="PAA1" s="235"/>
      <c r="PAB1" s="235"/>
      <c r="PAC1" s="235"/>
      <c r="PAD1" s="235"/>
      <c r="PAE1" s="235"/>
      <c r="PAF1" s="235"/>
      <c r="PAG1" s="235"/>
      <c r="PAH1" s="235"/>
      <c r="PAI1" s="235"/>
      <c r="PAJ1" s="235"/>
      <c r="PAK1" s="235"/>
      <c r="PAL1" s="235"/>
      <c r="PAM1" s="235"/>
      <c r="PAN1" s="235"/>
      <c r="PAO1" s="235"/>
      <c r="PAP1" s="235"/>
      <c r="PAQ1" s="235"/>
      <c r="PAR1" s="235"/>
      <c r="PAS1" s="235"/>
      <c r="PAT1" s="235"/>
      <c r="PAU1" s="235"/>
      <c r="PAV1" s="235"/>
      <c r="PAW1" s="235"/>
      <c r="PAX1" s="235"/>
      <c r="PAY1" s="235"/>
      <c r="PAZ1" s="235"/>
      <c r="PBA1" s="235"/>
      <c r="PBB1" s="235"/>
      <c r="PBC1" s="235"/>
      <c r="PBD1" s="235"/>
      <c r="PBE1" s="235"/>
      <c r="PBF1" s="235"/>
      <c r="PBG1" s="235"/>
      <c r="PBH1" s="235"/>
      <c r="PBI1" s="235"/>
      <c r="PBJ1" s="235"/>
      <c r="PBK1" s="235"/>
      <c r="PBL1" s="235"/>
      <c r="PBM1" s="235"/>
      <c r="PBN1" s="235"/>
      <c r="PBO1" s="235"/>
      <c r="PBP1" s="235"/>
      <c r="PBQ1" s="235"/>
      <c r="PBR1" s="235"/>
      <c r="PBS1" s="235"/>
      <c r="PBT1" s="235"/>
      <c r="PBU1" s="235"/>
      <c r="PBV1" s="235"/>
      <c r="PBW1" s="235"/>
      <c r="PBX1" s="235"/>
      <c r="PBY1" s="235"/>
      <c r="PBZ1" s="235"/>
      <c r="PCA1" s="235"/>
      <c r="PCB1" s="235"/>
      <c r="PCC1" s="235"/>
      <c r="PCD1" s="235"/>
      <c r="PCE1" s="235"/>
      <c r="PCF1" s="235"/>
      <c r="PCG1" s="235"/>
      <c r="PCH1" s="235"/>
      <c r="PCI1" s="235"/>
      <c r="PCJ1" s="235"/>
      <c r="PCK1" s="235"/>
      <c r="PCL1" s="235"/>
      <c r="PCM1" s="235"/>
      <c r="PCN1" s="235"/>
      <c r="PCO1" s="235"/>
      <c r="PCP1" s="235"/>
      <c r="PCQ1" s="235"/>
      <c r="PCR1" s="235"/>
      <c r="PCS1" s="235"/>
      <c r="PCT1" s="235"/>
      <c r="PCU1" s="235"/>
      <c r="PCV1" s="235"/>
      <c r="PCW1" s="235"/>
      <c r="PCX1" s="235"/>
      <c r="PCY1" s="235"/>
      <c r="PCZ1" s="235"/>
      <c r="PDA1" s="235"/>
      <c r="PDB1" s="235"/>
      <c r="PDC1" s="235"/>
      <c r="PDD1" s="235"/>
      <c r="PDE1" s="235"/>
      <c r="PDF1" s="235"/>
      <c r="PDG1" s="235"/>
      <c r="PDH1" s="235"/>
      <c r="PDI1" s="235"/>
      <c r="PDJ1" s="235"/>
      <c r="PDK1" s="235"/>
      <c r="PDL1" s="235"/>
      <c r="PDM1" s="235"/>
      <c r="PDN1" s="235"/>
      <c r="PDO1" s="235"/>
      <c r="PDP1" s="235"/>
      <c r="PDQ1" s="235"/>
      <c r="PDR1" s="235"/>
      <c r="PDS1" s="235"/>
      <c r="PDT1" s="235"/>
      <c r="PDU1" s="235"/>
      <c r="PDV1" s="235"/>
      <c r="PDW1" s="235"/>
      <c r="PDX1" s="235"/>
      <c r="PDY1" s="235"/>
      <c r="PDZ1" s="235"/>
      <c r="PEA1" s="235"/>
      <c r="PEB1" s="235"/>
      <c r="PEC1" s="235"/>
      <c r="PED1" s="235"/>
      <c r="PEE1" s="235"/>
      <c r="PEF1" s="235"/>
      <c r="PEG1" s="235"/>
      <c r="PEH1" s="235"/>
      <c r="PEI1" s="235"/>
      <c r="PEJ1" s="235"/>
      <c r="PEK1" s="235"/>
      <c r="PEL1" s="235"/>
      <c r="PEM1" s="235"/>
      <c r="PEN1" s="235"/>
      <c r="PEO1" s="235"/>
      <c r="PEP1" s="235"/>
      <c r="PEQ1" s="235"/>
      <c r="PER1" s="235"/>
      <c r="PES1" s="235"/>
      <c r="PET1" s="235"/>
      <c r="PEU1" s="235"/>
      <c r="PEV1" s="235"/>
      <c r="PEW1" s="235"/>
      <c r="PEX1" s="235"/>
      <c r="PEY1" s="235"/>
      <c r="PEZ1" s="235"/>
      <c r="PFA1" s="235"/>
      <c r="PFB1" s="235"/>
      <c r="PFC1" s="235"/>
      <c r="PFD1" s="235"/>
      <c r="PFE1" s="235"/>
      <c r="PFF1" s="235"/>
      <c r="PFG1" s="235"/>
      <c r="PFH1" s="235"/>
      <c r="PFI1" s="235"/>
      <c r="PFJ1" s="235"/>
      <c r="PFK1" s="235"/>
      <c r="PFL1" s="235"/>
      <c r="PFM1" s="235"/>
      <c r="PFN1" s="235"/>
      <c r="PFO1" s="235"/>
      <c r="PFP1" s="235"/>
      <c r="PFQ1" s="235"/>
      <c r="PFR1" s="235"/>
      <c r="PFS1" s="235"/>
      <c r="PFT1" s="235"/>
      <c r="PFU1" s="235"/>
      <c r="PFV1" s="235"/>
      <c r="PFW1" s="235"/>
      <c r="PFX1" s="235"/>
      <c r="PFY1" s="235"/>
      <c r="PFZ1" s="235"/>
      <c r="PGA1" s="235"/>
      <c r="PGB1" s="235"/>
      <c r="PGC1" s="235"/>
      <c r="PGD1" s="235"/>
      <c r="PGE1" s="235"/>
      <c r="PGF1" s="235"/>
      <c r="PGG1" s="235"/>
      <c r="PGH1" s="235"/>
      <c r="PGI1" s="235"/>
      <c r="PGJ1" s="235"/>
      <c r="PGK1" s="235"/>
      <c r="PGL1" s="235"/>
      <c r="PGM1" s="235"/>
      <c r="PGN1" s="235"/>
      <c r="PGO1" s="235"/>
      <c r="PGP1" s="235"/>
      <c r="PGQ1" s="235"/>
      <c r="PGR1" s="235"/>
      <c r="PGS1" s="235"/>
      <c r="PGT1" s="235"/>
      <c r="PGU1" s="235"/>
      <c r="PGV1" s="235"/>
      <c r="PGW1" s="235"/>
      <c r="PGX1" s="235"/>
      <c r="PGY1" s="235"/>
      <c r="PGZ1" s="235"/>
      <c r="PHA1" s="235"/>
      <c r="PHB1" s="235"/>
      <c r="PHC1" s="235"/>
      <c r="PHD1" s="235"/>
      <c r="PHE1" s="235"/>
      <c r="PHF1" s="235"/>
      <c r="PHG1" s="235"/>
      <c r="PHH1" s="235"/>
      <c r="PHI1" s="235"/>
      <c r="PHJ1" s="235"/>
      <c r="PHK1" s="235"/>
      <c r="PHL1" s="235"/>
      <c r="PHM1" s="235"/>
      <c r="PHN1" s="235"/>
      <c r="PHO1" s="235"/>
      <c r="PHP1" s="235"/>
      <c r="PHQ1" s="235"/>
      <c r="PHR1" s="235"/>
      <c r="PHS1" s="235"/>
      <c r="PHT1" s="235"/>
      <c r="PHU1" s="235"/>
      <c r="PHV1" s="235"/>
      <c r="PHW1" s="235"/>
      <c r="PHX1" s="235"/>
      <c r="PHY1" s="235"/>
      <c r="PHZ1" s="235"/>
      <c r="PIA1" s="235"/>
      <c r="PIB1" s="235"/>
      <c r="PIC1" s="235"/>
      <c r="PID1" s="235"/>
      <c r="PIE1" s="235"/>
      <c r="PIF1" s="235"/>
      <c r="PIG1" s="235"/>
      <c r="PIH1" s="235"/>
      <c r="PII1" s="235"/>
      <c r="PIJ1" s="235"/>
      <c r="PIK1" s="235"/>
      <c r="PIL1" s="235"/>
      <c r="PIM1" s="235"/>
      <c r="PIN1" s="235"/>
      <c r="PIO1" s="235"/>
      <c r="PIP1" s="235"/>
      <c r="PIQ1" s="235"/>
      <c r="PIR1" s="235"/>
      <c r="PIS1" s="235"/>
      <c r="PIT1" s="235"/>
      <c r="PIU1" s="235"/>
      <c r="PIV1" s="235"/>
      <c r="PIW1" s="235"/>
      <c r="PIX1" s="235"/>
      <c r="PIY1" s="235"/>
      <c r="PIZ1" s="235"/>
      <c r="PJA1" s="235"/>
      <c r="PJB1" s="235"/>
      <c r="PJC1" s="235"/>
      <c r="PJD1" s="235"/>
      <c r="PJE1" s="235"/>
      <c r="PJF1" s="235"/>
      <c r="PJG1" s="235"/>
      <c r="PJH1" s="235"/>
      <c r="PJI1" s="235"/>
      <c r="PJJ1" s="235"/>
      <c r="PJK1" s="235"/>
      <c r="PJL1" s="235"/>
      <c r="PJM1" s="235"/>
      <c r="PJN1" s="235"/>
      <c r="PJO1" s="235"/>
      <c r="PJP1" s="235"/>
      <c r="PJQ1" s="235"/>
      <c r="PJR1" s="235"/>
      <c r="PJS1" s="235"/>
      <c r="PJT1" s="235"/>
      <c r="PJU1" s="235"/>
      <c r="PJV1" s="235"/>
      <c r="PJW1" s="235"/>
      <c r="PJX1" s="235"/>
      <c r="PJY1" s="235"/>
      <c r="PJZ1" s="235"/>
      <c r="PKA1" s="235"/>
      <c r="PKB1" s="235"/>
      <c r="PKC1" s="235"/>
      <c r="PKD1" s="235"/>
      <c r="PKE1" s="235"/>
      <c r="PKF1" s="235"/>
      <c r="PKG1" s="235"/>
      <c r="PKH1" s="235"/>
      <c r="PKI1" s="235"/>
      <c r="PKJ1" s="235"/>
      <c r="PKK1" s="235"/>
      <c r="PKL1" s="235"/>
      <c r="PKM1" s="235"/>
      <c r="PKN1" s="235"/>
      <c r="PKO1" s="235"/>
      <c r="PKP1" s="235"/>
      <c r="PKQ1" s="235"/>
      <c r="PKR1" s="235"/>
      <c r="PKS1" s="235"/>
      <c r="PKT1" s="235"/>
      <c r="PKU1" s="235"/>
      <c r="PKV1" s="235"/>
      <c r="PKW1" s="235"/>
      <c r="PKX1" s="235"/>
      <c r="PKY1" s="235"/>
      <c r="PKZ1" s="235"/>
      <c r="PLA1" s="235"/>
      <c r="PLB1" s="235"/>
      <c r="PLC1" s="235"/>
      <c r="PLD1" s="235"/>
      <c r="PLE1" s="235"/>
      <c r="PLF1" s="235"/>
      <c r="PLG1" s="235"/>
      <c r="PLH1" s="235"/>
      <c r="PLI1" s="235"/>
      <c r="PLJ1" s="235"/>
      <c r="PLK1" s="235"/>
      <c r="PLL1" s="235"/>
      <c r="PLM1" s="235"/>
      <c r="PLN1" s="235"/>
      <c r="PLO1" s="235"/>
      <c r="PLP1" s="235"/>
      <c r="PLQ1" s="235"/>
      <c r="PLR1" s="235"/>
      <c r="PLS1" s="235"/>
      <c r="PLT1" s="235"/>
      <c r="PLU1" s="235"/>
      <c r="PLV1" s="235"/>
      <c r="PLW1" s="235"/>
      <c r="PLX1" s="235"/>
      <c r="PLY1" s="235"/>
      <c r="PLZ1" s="235"/>
      <c r="PMA1" s="235"/>
      <c r="PMB1" s="235"/>
      <c r="PMC1" s="235"/>
      <c r="PMD1" s="235"/>
      <c r="PME1" s="235"/>
      <c r="PMF1" s="235"/>
      <c r="PMG1" s="235"/>
      <c r="PMH1" s="235"/>
      <c r="PMI1" s="235"/>
      <c r="PMJ1" s="235"/>
      <c r="PMK1" s="235"/>
      <c r="PML1" s="235"/>
      <c r="PMM1" s="235"/>
      <c r="PMN1" s="235"/>
      <c r="PMO1" s="235"/>
      <c r="PMP1" s="235"/>
      <c r="PMQ1" s="235"/>
      <c r="PMR1" s="235"/>
      <c r="PMS1" s="235"/>
      <c r="PMT1" s="235"/>
      <c r="PMU1" s="235"/>
      <c r="PMV1" s="235"/>
      <c r="PMW1" s="235"/>
      <c r="PMX1" s="235"/>
      <c r="PMY1" s="235"/>
      <c r="PMZ1" s="235"/>
      <c r="PNA1" s="235"/>
      <c r="PNB1" s="235"/>
      <c r="PNC1" s="235"/>
      <c r="PND1" s="235"/>
      <c r="PNE1" s="235"/>
      <c r="PNF1" s="235"/>
      <c r="PNG1" s="235"/>
      <c r="PNH1" s="235"/>
      <c r="PNI1" s="235"/>
      <c r="PNJ1" s="235"/>
      <c r="PNK1" s="235"/>
      <c r="PNL1" s="235"/>
      <c r="PNM1" s="235"/>
      <c r="PNN1" s="235"/>
      <c r="PNO1" s="235"/>
      <c r="PNP1" s="235"/>
      <c r="PNQ1" s="235"/>
      <c r="PNR1" s="235"/>
      <c r="PNS1" s="235"/>
      <c r="PNT1" s="235"/>
      <c r="PNU1" s="235"/>
      <c r="PNV1" s="235"/>
      <c r="PNW1" s="235"/>
      <c r="PNX1" s="235"/>
      <c r="PNY1" s="235"/>
      <c r="PNZ1" s="235"/>
      <c r="POA1" s="235"/>
      <c r="POB1" s="235"/>
      <c r="POC1" s="235"/>
      <c r="POD1" s="235"/>
      <c r="POE1" s="235"/>
      <c r="POF1" s="235"/>
      <c r="POG1" s="235"/>
      <c r="POH1" s="235"/>
      <c r="POI1" s="235"/>
      <c r="POJ1" s="235"/>
      <c r="POK1" s="235"/>
      <c r="POL1" s="235"/>
      <c r="POM1" s="235"/>
      <c r="PON1" s="235"/>
      <c r="POO1" s="235"/>
      <c r="POP1" s="235"/>
      <c r="POQ1" s="235"/>
      <c r="POR1" s="235"/>
      <c r="POS1" s="235"/>
      <c r="POT1" s="235"/>
      <c r="POU1" s="235"/>
      <c r="POV1" s="235"/>
      <c r="POW1" s="235"/>
      <c r="POX1" s="235"/>
      <c r="POY1" s="235"/>
      <c r="POZ1" s="235"/>
      <c r="PPA1" s="235"/>
      <c r="PPB1" s="235"/>
      <c r="PPC1" s="235"/>
      <c r="PPD1" s="235"/>
      <c r="PPE1" s="235"/>
      <c r="PPF1" s="235"/>
      <c r="PPG1" s="235"/>
      <c r="PPH1" s="235"/>
      <c r="PPI1" s="235"/>
      <c r="PPJ1" s="235"/>
      <c r="PPK1" s="235"/>
      <c r="PPL1" s="235"/>
      <c r="PPM1" s="235"/>
      <c r="PPN1" s="235"/>
      <c r="PPO1" s="235"/>
      <c r="PPP1" s="235"/>
      <c r="PPQ1" s="235"/>
      <c r="PPR1" s="235"/>
      <c r="PPS1" s="235"/>
      <c r="PPT1" s="235"/>
      <c r="PPU1" s="235"/>
      <c r="PPV1" s="235"/>
      <c r="PPW1" s="235"/>
      <c r="PPX1" s="235"/>
      <c r="PPY1" s="235"/>
      <c r="PPZ1" s="235"/>
      <c r="PQA1" s="235"/>
      <c r="PQB1" s="235"/>
      <c r="PQC1" s="235"/>
      <c r="PQD1" s="235"/>
      <c r="PQE1" s="235"/>
      <c r="PQF1" s="235"/>
      <c r="PQG1" s="235"/>
      <c r="PQH1" s="235"/>
      <c r="PQI1" s="235"/>
      <c r="PQJ1" s="235"/>
      <c r="PQK1" s="235"/>
      <c r="PQL1" s="235"/>
      <c r="PQM1" s="235"/>
      <c r="PQN1" s="235"/>
      <c r="PQO1" s="235"/>
      <c r="PQP1" s="235"/>
      <c r="PQQ1" s="235"/>
      <c r="PQR1" s="235"/>
      <c r="PQS1" s="235"/>
      <c r="PQT1" s="235"/>
      <c r="PQU1" s="235"/>
      <c r="PQV1" s="235"/>
      <c r="PQW1" s="235"/>
      <c r="PQX1" s="235"/>
      <c r="PQY1" s="235"/>
      <c r="PQZ1" s="235"/>
      <c r="PRA1" s="235"/>
      <c r="PRB1" s="235"/>
      <c r="PRC1" s="235"/>
      <c r="PRD1" s="235"/>
      <c r="PRE1" s="235"/>
      <c r="PRF1" s="235"/>
      <c r="PRG1" s="235"/>
      <c r="PRH1" s="235"/>
      <c r="PRI1" s="235"/>
      <c r="PRJ1" s="235"/>
      <c r="PRK1" s="235"/>
      <c r="PRL1" s="235"/>
      <c r="PRM1" s="235"/>
      <c r="PRN1" s="235"/>
      <c r="PRO1" s="235"/>
      <c r="PRP1" s="235"/>
      <c r="PRQ1" s="235"/>
      <c r="PRR1" s="235"/>
      <c r="PRS1" s="235"/>
      <c r="PRT1" s="235"/>
      <c r="PRU1" s="235"/>
      <c r="PRV1" s="235"/>
      <c r="PRW1" s="235"/>
      <c r="PRX1" s="235"/>
      <c r="PRY1" s="235"/>
      <c r="PRZ1" s="235"/>
      <c r="PSA1" s="235"/>
      <c r="PSB1" s="235"/>
      <c r="PSC1" s="235"/>
      <c r="PSD1" s="235"/>
      <c r="PSE1" s="235"/>
      <c r="PSF1" s="235"/>
      <c r="PSG1" s="235"/>
      <c r="PSH1" s="235"/>
      <c r="PSI1" s="235"/>
      <c r="PSJ1" s="235"/>
      <c r="PSK1" s="235"/>
      <c r="PSL1" s="235"/>
      <c r="PSM1" s="235"/>
      <c r="PSN1" s="235"/>
      <c r="PSO1" s="235"/>
      <c r="PSP1" s="235"/>
      <c r="PSQ1" s="235"/>
      <c r="PSR1" s="235"/>
      <c r="PSS1" s="235"/>
      <c r="PST1" s="235"/>
      <c r="PSU1" s="235"/>
      <c r="PSV1" s="235"/>
      <c r="PSW1" s="235"/>
      <c r="PSX1" s="235"/>
      <c r="PSY1" s="235"/>
      <c r="PSZ1" s="235"/>
      <c r="PTA1" s="235"/>
      <c r="PTB1" s="235"/>
      <c r="PTC1" s="235"/>
      <c r="PTD1" s="235"/>
      <c r="PTE1" s="235"/>
      <c r="PTF1" s="235"/>
      <c r="PTG1" s="235"/>
      <c r="PTH1" s="235"/>
      <c r="PTI1" s="235"/>
      <c r="PTJ1" s="235"/>
      <c r="PTK1" s="235"/>
      <c r="PTL1" s="235"/>
      <c r="PTM1" s="235"/>
      <c r="PTN1" s="235"/>
      <c r="PTO1" s="235"/>
      <c r="PTP1" s="235"/>
      <c r="PTQ1" s="235"/>
      <c r="PTR1" s="235"/>
      <c r="PTS1" s="235"/>
      <c r="PTT1" s="235"/>
      <c r="PTU1" s="235"/>
      <c r="PTV1" s="235"/>
      <c r="PTW1" s="235"/>
      <c r="PTX1" s="235"/>
      <c r="PTY1" s="235"/>
      <c r="PTZ1" s="235"/>
      <c r="PUA1" s="235"/>
      <c r="PUB1" s="235"/>
      <c r="PUC1" s="235"/>
      <c r="PUD1" s="235"/>
      <c r="PUE1" s="235"/>
      <c r="PUF1" s="235"/>
      <c r="PUG1" s="235"/>
      <c r="PUH1" s="235"/>
      <c r="PUI1" s="235"/>
      <c r="PUJ1" s="235"/>
      <c r="PUK1" s="235"/>
      <c r="PUL1" s="235"/>
      <c r="PUM1" s="235"/>
      <c r="PUN1" s="235"/>
      <c r="PUO1" s="235"/>
      <c r="PUP1" s="235"/>
      <c r="PUQ1" s="235"/>
      <c r="PUR1" s="235"/>
      <c r="PUS1" s="235"/>
      <c r="PUT1" s="235"/>
      <c r="PUU1" s="235"/>
      <c r="PUV1" s="235"/>
      <c r="PUW1" s="235"/>
      <c r="PUX1" s="235"/>
      <c r="PUY1" s="235"/>
      <c r="PUZ1" s="235"/>
      <c r="PVA1" s="235"/>
      <c r="PVB1" s="235"/>
      <c r="PVC1" s="235"/>
      <c r="PVD1" s="235"/>
      <c r="PVE1" s="235"/>
      <c r="PVF1" s="235"/>
      <c r="PVG1" s="235"/>
      <c r="PVH1" s="235"/>
      <c r="PVI1" s="235"/>
      <c r="PVJ1" s="235"/>
      <c r="PVK1" s="235"/>
      <c r="PVL1" s="235"/>
      <c r="PVM1" s="235"/>
      <c r="PVN1" s="235"/>
      <c r="PVO1" s="235"/>
      <c r="PVP1" s="235"/>
      <c r="PVQ1" s="235"/>
      <c r="PVR1" s="235"/>
      <c r="PVS1" s="235"/>
      <c r="PVT1" s="235"/>
      <c r="PVU1" s="235"/>
      <c r="PVV1" s="235"/>
      <c r="PVW1" s="235"/>
      <c r="PVX1" s="235"/>
      <c r="PVY1" s="235"/>
      <c r="PVZ1" s="235"/>
      <c r="PWA1" s="235"/>
      <c r="PWB1" s="235"/>
      <c r="PWC1" s="235"/>
      <c r="PWD1" s="235"/>
      <c r="PWE1" s="235"/>
      <c r="PWF1" s="235"/>
      <c r="PWG1" s="235"/>
      <c r="PWH1" s="235"/>
      <c r="PWI1" s="235"/>
      <c r="PWJ1" s="235"/>
      <c r="PWK1" s="235"/>
      <c r="PWL1" s="235"/>
      <c r="PWM1" s="235"/>
      <c r="PWN1" s="235"/>
      <c r="PWO1" s="235"/>
      <c r="PWP1" s="235"/>
      <c r="PWQ1" s="235"/>
      <c r="PWR1" s="235"/>
      <c r="PWS1" s="235"/>
      <c r="PWT1" s="235"/>
      <c r="PWU1" s="235"/>
      <c r="PWV1" s="235"/>
      <c r="PWW1" s="235"/>
      <c r="PWX1" s="235"/>
      <c r="PWY1" s="235"/>
      <c r="PWZ1" s="235"/>
      <c r="PXA1" s="235"/>
      <c r="PXB1" s="235"/>
      <c r="PXC1" s="235"/>
      <c r="PXD1" s="235"/>
      <c r="PXE1" s="235"/>
      <c r="PXF1" s="235"/>
      <c r="PXG1" s="235"/>
      <c r="PXH1" s="235"/>
      <c r="PXI1" s="235"/>
      <c r="PXJ1" s="235"/>
      <c r="PXK1" s="235"/>
      <c r="PXL1" s="235"/>
      <c r="PXM1" s="235"/>
      <c r="PXN1" s="235"/>
      <c r="PXO1" s="235"/>
      <c r="PXP1" s="235"/>
      <c r="PXQ1" s="235"/>
      <c r="PXR1" s="235"/>
      <c r="PXS1" s="235"/>
      <c r="PXT1" s="235"/>
      <c r="PXU1" s="235"/>
      <c r="PXV1" s="235"/>
      <c r="PXW1" s="235"/>
      <c r="PXX1" s="235"/>
      <c r="PXY1" s="235"/>
      <c r="PXZ1" s="235"/>
      <c r="PYA1" s="235"/>
      <c r="PYB1" s="235"/>
      <c r="PYC1" s="235"/>
      <c r="PYD1" s="235"/>
      <c r="PYE1" s="235"/>
      <c r="PYF1" s="235"/>
      <c r="PYG1" s="235"/>
      <c r="PYH1" s="235"/>
      <c r="PYI1" s="235"/>
      <c r="PYJ1" s="235"/>
      <c r="PYK1" s="235"/>
      <c r="PYL1" s="235"/>
      <c r="PYM1" s="235"/>
      <c r="PYN1" s="235"/>
      <c r="PYO1" s="235"/>
      <c r="PYP1" s="235"/>
      <c r="PYQ1" s="235"/>
      <c r="PYR1" s="235"/>
      <c r="PYS1" s="235"/>
      <c r="PYT1" s="235"/>
      <c r="PYU1" s="235"/>
      <c r="PYV1" s="235"/>
      <c r="PYW1" s="235"/>
      <c r="PYX1" s="235"/>
      <c r="PYY1" s="235"/>
      <c r="PYZ1" s="235"/>
      <c r="PZA1" s="235"/>
      <c r="PZB1" s="235"/>
      <c r="PZC1" s="235"/>
      <c r="PZD1" s="235"/>
      <c r="PZE1" s="235"/>
      <c r="PZF1" s="235"/>
      <c r="PZG1" s="235"/>
      <c r="PZH1" s="235"/>
      <c r="PZI1" s="235"/>
      <c r="PZJ1" s="235"/>
      <c r="PZK1" s="235"/>
      <c r="PZL1" s="235"/>
      <c r="PZM1" s="235"/>
      <c r="PZN1" s="235"/>
      <c r="PZO1" s="235"/>
      <c r="PZP1" s="235"/>
      <c r="PZQ1" s="235"/>
      <c r="PZR1" s="235"/>
      <c r="PZS1" s="235"/>
      <c r="PZT1" s="235"/>
      <c r="PZU1" s="235"/>
      <c r="PZV1" s="235"/>
      <c r="PZW1" s="235"/>
      <c r="PZX1" s="235"/>
      <c r="PZY1" s="235"/>
      <c r="PZZ1" s="235"/>
      <c r="QAA1" s="235"/>
      <c r="QAB1" s="235"/>
      <c r="QAC1" s="235"/>
      <c r="QAD1" s="235"/>
      <c r="QAE1" s="235"/>
      <c r="QAF1" s="235"/>
      <c r="QAG1" s="235"/>
      <c r="QAH1" s="235"/>
      <c r="QAI1" s="235"/>
      <c r="QAJ1" s="235"/>
      <c r="QAK1" s="235"/>
      <c r="QAL1" s="235"/>
      <c r="QAM1" s="235"/>
      <c r="QAN1" s="235"/>
      <c r="QAO1" s="235"/>
      <c r="QAP1" s="235"/>
      <c r="QAQ1" s="235"/>
      <c r="QAR1" s="235"/>
      <c r="QAS1" s="235"/>
      <c r="QAT1" s="235"/>
      <c r="QAU1" s="235"/>
      <c r="QAV1" s="235"/>
      <c r="QAW1" s="235"/>
      <c r="QAX1" s="235"/>
      <c r="QAY1" s="235"/>
      <c r="QAZ1" s="235"/>
      <c r="QBA1" s="235"/>
      <c r="QBB1" s="235"/>
      <c r="QBC1" s="235"/>
      <c r="QBD1" s="235"/>
      <c r="QBE1" s="235"/>
      <c r="QBF1" s="235"/>
      <c r="QBG1" s="235"/>
      <c r="QBH1" s="235"/>
      <c r="QBI1" s="235"/>
      <c r="QBJ1" s="235"/>
      <c r="QBK1" s="235"/>
      <c r="QBL1" s="235"/>
      <c r="QBM1" s="235"/>
      <c r="QBN1" s="235"/>
      <c r="QBO1" s="235"/>
      <c r="QBP1" s="235"/>
      <c r="QBQ1" s="235"/>
      <c r="QBR1" s="235"/>
      <c r="QBS1" s="235"/>
      <c r="QBT1" s="235"/>
      <c r="QBU1" s="235"/>
      <c r="QBV1" s="235"/>
      <c r="QBW1" s="235"/>
      <c r="QBX1" s="235"/>
      <c r="QBY1" s="235"/>
      <c r="QBZ1" s="235"/>
      <c r="QCA1" s="235"/>
      <c r="QCB1" s="235"/>
      <c r="QCC1" s="235"/>
      <c r="QCD1" s="235"/>
      <c r="QCE1" s="235"/>
      <c r="QCF1" s="235"/>
      <c r="QCG1" s="235"/>
      <c r="QCH1" s="235"/>
      <c r="QCI1" s="235"/>
      <c r="QCJ1" s="235"/>
      <c r="QCK1" s="235"/>
      <c r="QCL1" s="235"/>
      <c r="QCM1" s="235"/>
      <c r="QCN1" s="235"/>
      <c r="QCO1" s="235"/>
      <c r="QCP1" s="235"/>
      <c r="QCQ1" s="235"/>
      <c r="QCR1" s="235"/>
      <c r="QCS1" s="235"/>
      <c r="QCT1" s="235"/>
      <c r="QCU1" s="235"/>
      <c r="QCV1" s="235"/>
      <c r="QCW1" s="235"/>
      <c r="QCX1" s="235"/>
      <c r="QCY1" s="235"/>
      <c r="QCZ1" s="235"/>
      <c r="QDA1" s="235"/>
      <c r="QDB1" s="235"/>
      <c r="QDC1" s="235"/>
      <c r="QDD1" s="235"/>
      <c r="QDE1" s="235"/>
      <c r="QDF1" s="235"/>
      <c r="QDG1" s="235"/>
      <c r="QDH1" s="235"/>
      <c r="QDI1" s="235"/>
      <c r="QDJ1" s="235"/>
      <c r="QDK1" s="235"/>
      <c r="QDL1" s="235"/>
      <c r="QDM1" s="235"/>
      <c r="QDN1" s="235"/>
      <c r="QDO1" s="235"/>
      <c r="QDP1" s="235"/>
      <c r="QDQ1" s="235"/>
      <c r="QDR1" s="235"/>
      <c r="QDS1" s="235"/>
      <c r="QDT1" s="235"/>
      <c r="QDU1" s="235"/>
      <c r="QDV1" s="235"/>
      <c r="QDW1" s="235"/>
      <c r="QDX1" s="235"/>
      <c r="QDY1" s="235"/>
      <c r="QDZ1" s="235"/>
      <c r="QEA1" s="235"/>
      <c r="QEB1" s="235"/>
      <c r="QEC1" s="235"/>
      <c r="QED1" s="235"/>
      <c r="QEE1" s="235"/>
      <c r="QEF1" s="235"/>
      <c r="QEG1" s="235"/>
      <c r="QEH1" s="235"/>
      <c r="QEI1" s="235"/>
      <c r="QEJ1" s="235"/>
      <c r="QEK1" s="235"/>
      <c r="QEL1" s="235"/>
      <c r="QEM1" s="235"/>
      <c r="QEN1" s="235"/>
      <c r="QEO1" s="235"/>
      <c r="QEP1" s="235"/>
      <c r="QEQ1" s="235"/>
      <c r="QER1" s="235"/>
      <c r="QES1" s="235"/>
      <c r="QET1" s="235"/>
      <c r="QEU1" s="235"/>
      <c r="QEV1" s="235"/>
      <c r="QEW1" s="235"/>
      <c r="QEX1" s="235"/>
      <c r="QEY1" s="235"/>
      <c r="QEZ1" s="235"/>
      <c r="QFA1" s="235"/>
      <c r="QFB1" s="235"/>
      <c r="QFC1" s="235"/>
      <c r="QFD1" s="235"/>
      <c r="QFE1" s="235"/>
      <c r="QFF1" s="235"/>
      <c r="QFG1" s="235"/>
      <c r="QFH1" s="235"/>
      <c r="QFI1" s="235"/>
      <c r="QFJ1" s="235"/>
      <c r="QFK1" s="235"/>
      <c r="QFL1" s="235"/>
      <c r="QFM1" s="235"/>
      <c r="QFN1" s="235"/>
      <c r="QFO1" s="235"/>
      <c r="QFP1" s="235"/>
      <c r="QFQ1" s="235"/>
      <c r="QFR1" s="235"/>
      <c r="QFS1" s="235"/>
      <c r="QFT1" s="235"/>
      <c r="QFU1" s="235"/>
      <c r="QFV1" s="235"/>
      <c r="QFW1" s="235"/>
      <c r="QFX1" s="235"/>
      <c r="QFY1" s="235"/>
      <c r="QFZ1" s="235"/>
      <c r="QGA1" s="235"/>
      <c r="QGB1" s="235"/>
      <c r="QGC1" s="235"/>
      <c r="QGD1" s="235"/>
      <c r="QGE1" s="235"/>
      <c r="QGF1" s="235"/>
      <c r="QGG1" s="235"/>
      <c r="QGH1" s="235"/>
      <c r="QGI1" s="235"/>
      <c r="QGJ1" s="235"/>
      <c r="QGK1" s="235"/>
      <c r="QGL1" s="235"/>
      <c r="QGM1" s="235"/>
      <c r="QGN1" s="235"/>
      <c r="QGO1" s="235"/>
      <c r="QGP1" s="235"/>
      <c r="QGQ1" s="235"/>
      <c r="QGR1" s="235"/>
      <c r="QGS1" s="235"/>
      <c r="QGT1" s="235"/>
      <c r="QGU1" s="235"/>
      <c r="QGV1" s="235"/>
      <c r="QGW1" s="235"/>
      <c r="QGX1" s="235"/>
      <c r="QGY1" s="235"/>
      <c r="QGZ1" s="235"/>
      <c r="QHA1" s="235"/>
      <c r="QHB1" s="235"/>
      <c r="QHC1" s="235"/>
      <c r="QHD1" s="235"/>
      <c r="QHE1" s="235"/>
      <c r="QHF1" s="235"/>
      <c r="QHG1" s="235"/>
      <c r="QHH1" s="235"/>
      <c r="QHI1" s="235"/>
      <c r="QHJ1" s="235"/>
      <c r="QHK1" s="235"/>
      <c r="QHL1" s="235"/>
      <c r="QHM1" s="235"/>
      <c r="QHN1" s="235"/>
      <c r="QHO1" s="235"/>
      <c r="QHP1" s="235"/>
      <c r="QHQ1" s="235"/>
      <c r="QHR1" s="235"/>
      <c r="QHS1" s="235"/>
      <c r="QHT1" s="235"/>
      <c r="QHU1" s="235"/>
      <c r="QHV1" s="235"/>
      <c r="QHW1" s="235"/>
      <c r="QHX1" s="235"/>
      <c r="QHY1" s="235"/>
      <c r="QHZ1" s="235"/>
      <c r="QIA1" s="235"/>
      <c r="QIB1" s="235"/>
      <c r="QIC1" s="235"/>
      <c r="QID1" s="235"/>
      <c r="QIE1" s="235"/>
      <c r="QIF1" s="235"/>
      <c r="QIG1" s="235"/>
      <c r="QIH1" s="235"/>
      <c r="QII1" s="235"/>
      <c r="QIJ1" s="235"/>
      <c r="QIK1" s="235"/>
      <c r="QIL1" s="235"/>
      <c r="QIM1" s="235"/>
      <c r="QIN1" s="235"/>
      <c r="QIO1" s="235"/>
      <c r="QIP1" s="235"/>
      <c r="QIQ1" s="235"/>
      <c r="QIR1" s="235"/>
      <c r="QIS1" s="235"/>
      <c r="QIT1" s="235"/>
      <c r="QIU1" s="235"/>
      <c r="QIV1" s="235"/>
      <c r="QIW1" s="235"/>
      <c r="QIX1" s="235"/>
      <c r="QIY1" s="235"/>
      <c r="QIZ1" s="235"/>
      <c r="QJA1" s="235"/>
      <c r="QJB1" s="235"/>
      <c r="QJC1" s="235"/>
      <c r="QJD1" s="235"/>
      <c r="QJE1" s="235"/>
      <c r="QJF1" s="235"/>
      <c r="QJG1" s="235"/>
      <c r="QJH1" s="235"/>
      <c r="QJI1" s="235"/>
      <c r="QJJ1" s="235"/>
      <c r="QJK1" s="235"/>
      <c r="QJL1" s="235"/>
      <c r="QJM1" s="235"/>
      <c r="QJN1" s="235"/>
      <c r="QJO1" s="235"/>
      <c r="QJP1" s="235"/>
      <c r="QJQ1" s="235"/>
      <c r="QJR1" s="235"/>
      <c r="QJS1" s="235"/>
      <c r="QJT1" s="235"/>
      <c r="QJU1" s="235"/>
      <c r="QJV1" s="235"/>
      <c r="QJW1" s="235"/>
      <c r="QJX1" s="235"/>
      <c r="QJY1" s="235"/>
      <c r="QJZ1" s="235"/>
      <c r="QKA1" s="235"/>
      <c r="QKB1" s="235"/>
      <c r="QKC1" s="235"/>
      <c r="QKD1" s="235"/>
      <c r="QKE1" s="235"/>
      <c r="QKF1" s="235"/>
      <c r="QKG1" s="235"/>
      <c r="QKH1" s="235"/>
      <c r="QKI1" s="235"/>
      <c r="QKJ1" s="235"/>
      <c r="QKK1" s="235"/>
      <c r="QKL1" s="235"/>
      <c r="QKM1" s="235"/>
      <c r="QKN1" s="235"/>
      <c r="QKO1" s="235"/>
      <c r="QKP1" s="235"/>
      <c r="QKQ1" s="235"/>
      <c r="QKR1" s="235"/>
      <c r="QKS1" s="235"/>
      <c r="QKT1" s="235"/>
      <c r="QKU1" s="235"/>
      <c r="QKV1" s="235"/>
      <c r="QKW1" s="235"/>
      <c r="QKX1" s="235"/>
      <c r="QKY1" s="235"/>
      <c r="QKZ1" s="235"/>
      <c r="QLA1" s="235"/>
      <c r="QLB1" s="235"/>
      <c r="QLC1" s="235"/>
      <c r="QLD1" s="235"/>
      <c r="QLE1" s="235"/>
      <c r="QLF1" s="235"/>
      <c r="QLG1" s="235"/>
      <c r="QLH1" s="235"/>
      <c r="QLI1" s="235"/>
      <c r="QLJ1" s="235"/>
      <c r="QLK1" s="235"/>
      <c r="QLL1" s="235"/>
      <c r="QLM1" s="235"/>
      <c r="QLN1" s="235"/>
      <c r="QLO1" s="235"/>
      <c r="QLP1" s="235"/>
      <c r="QLQ1" s="235"/>
      <c r="QLR1" s="235"/>
      <c r="QLS1" s="235"/>
      <c r="QLT1" s="235"/>
      <c r="QLU1" s="235"/>
      <c r="QLV1" s="235"/>
      <c r="QLW1" s="235"/>
      <c r="QLX1" s="235"/>
      <c r="QLY1" s="235"/>
      <c r="QLZ1" s="235"/>
      <c r="QMA1" s="235"/>
      <c r="QMB1" s="235"/>
      <c r="QMC1" s="235"/>
      <c r="QMD1" s="235"/>
      <c r="QME1" s="235"/>
      <c r="QMF1" s="235"/>
      <c r="QMG1" s="235"/>
      <c r="QMH1" s="235"/>
      <c r="QMI1" s="235"/>
      <c r="QMJ1" s="235"/>
      <c r="QMK1" s="235"/>
      <c r="QML1" s="235"/>
      <c r="QMM1" s="235"/>
      <c r="QMN1" s="235"/>
      <c r="QMO1" s="235"/>
      <c r="QMP1" s="235"/>
      <c r="QMQ1" s="235"/>
      <c r="QMR1" s="235"/>
      <c r="QMS1" s="235"/>
      <c r="QMT1" s="235"/>
      <c r="QMU1" s="235"/>
      <c r="QMV1" s="235"/>
      <c r="QMW1" s="235"/>
      <c r="QMX1" s="235"/>
      <c r="QMY1" s="235"/>
      <c r="QMZ1" s="235"/>
      <c r="QNA1" s="235"/>
      <c r="QNB1" s="235"/>
      <c r="QNC1" s="235"/>
      <c r="QND1" s="235"/>
      <c r="QNE1" s="235"/>
      <c r="QNF1" s="235"/>
      <c r="QNG1" s="235"/>
      <c r="QNH1" s="235"/>
      <c r="QNI1" s="235"/>
      <c r="QNJ1" s="235"/>
      <c r="QNK1" s="235"/>
      <c r="QNL1" s="235"/>
      <c r="QNM1" s="235"/>
      <c r="QNN1" s="235"/>
      <c r="QNO1" s="235"/>
      <c r="QNP1" s="235"/>
      <c r="QNQ1" s="235"/>
      <c r="QNR1" s="235"/>
      <c r="QNS1" s="235"/>
      <c r="QNT1" s="235"/>
      <c r="QNU1" s="235"/>
      <c r="QNV1" s="235"/>
      <c r="QNW1" s="235"/>
      <c r="QNX1" s="235"/>
      <c r="QNY1" s="235"/>
      <c r="QNZ1" s="235"/>
      <c r="QOA1" s="235"/>
      <c r="QOB1" s="235"/>
      <c r="QOC1" s="235"/>
      <c r="QOD1" s="235"/>
      <c r="QOE1" s="235"/>
      <c r="QOF1" s="235"/>
      <c r="QOG1" s="235"/>
      <c r="QOH1" s="235"/>
      <c r="QOI1" s="235"/>
      <c r="QOJ1" s="235"/>
      <c r="QOK1" s="235"/>
      <c r="QOL1" s="235"/>
      <c r="QOM1" s="235"/>
      <c r="QON1" s="235"/>
      <c r="QOO1" s="235"/>
      <c r="QOP1" s="235"/>
      <c r="QOQ1" s="235"/>
      <c r="QOR1" s="235"/>
      <c r="QOS1" s="235"/>
      <c r="QOT1" s="235"/>
      <c r="QOU1" s="235"/>
      <c r="QOV1" s="235"/>
      <c r="QOW1" s="235"/>
      <c r="QOX1" s="235"/>
      <c r="QOY1" s="235"/>
      <c r="QOZ1" s="235"/>
      <c r="QPA1" s="235"/>
      <c r="QPB1" s="235"/>
      <c r="QPC1" s="235"/>
      <c r="QPD1" s="235"/>
      <c r="QPE1" s="235"/>
      <c r="QPF1" s="235"/>
      <c r="QPG1" s="235"/>
      <c r="QPH1" s="235"/>
      <c r="QPI1" s="235"/>
      <c r="QPJ1" s="235"/>
      <c r="QPK1" s="235"/>
      <c r="QPL1" s="235"/>
      <c r="QPM1" s="235"/>
      <c r="QPN1" s="235"/>
      <c r="QPO1" s="235"/>
      <c r="QPP1" s="235"/>
      <c r="QPQ1" s="235"/>
      <c r="QPR1" s="235"/>
      <c r="QPS1" s="235"/>
      <c r="QPT1" s="235"/>
      <c r="QPU1" s="235"/>
      <c r="QPV1" s="235"/>
      <c r="QPW1" s="235"/>
      <c r="QPX1" s="235"/>
      <c r="QPY1" s="235"/>
      <c r="QPZ1" s="235"/>
      <c r="QQA1" s="235"/>
      <c r="QQB1" s="235"/>
      <c r="QQC1" s="235"/>
      <c r="QQD1" s="235"/>
      <c r="QQE1" s="235"/>
      <c r="QQF1" s="235"/>
      <c r="QQG1" s="235"/>
      <c r="QQH1" s="235"/>
      <c r="QQI1" s="235"/>
      <c r="QQJ1" s="235"/>
      <c r="QQK1" s="235"/>
      <c r="QQL1" s="235"/>
      <c r="QQM1" s="235"/>
      <c r="QQN1" s="235"/>
      <c r="QQO1" s="235"/>
      <c r="QQP1" s="235"/>
      <c r="QQQ1" s="235"/>
      <c r="QQR1" s="235"/>
      <c r="QQS1" s="235"/>
      <c r="QQT1" s="235"/>
      <c r="QQU1" s="235"/>
      <c r="QQV1" s="235"/>
      <c r="QQW1" s="235"/>
      <c r="QQX1" s="235"/>
      <c r="QQY1" s="235"/>
      <c r="QQZ1" s="235"/>
      <c r="QRA1" s="235"/>
      <c r="QRB1" s="235"/>
      <c r="QRC1" s="235"/>
      <c r="QRD1" s="235"/>
      <c r="QRE1" s="235"/>
      <c r="QRF1" s="235"/>
      <c r="QRG1" s="235"/>
      <c r="QRH1" s="235"/>
      <c r="QRI1" s="235"/>
      <c r="QRJ1" s="235"/>
      <c r="QRK1" s="235"/>
      <c r="QRL1" s="235"/>
      <c r="QRM1" s="235"/>
      <c r="QRN1" s="235"/>
      <c r="QRO1" s="235"/>
      <c r="QRP1" s="235"/>
      <c r="QRQ1" s="235"/>
      <c r="QRR1" s="235"/>
      <c r="QRS1" s="235"/>
      <c r="QRT1" s="235"/>
      <c r="QRU1" s="235"/>
      <c r="QRV1" s="235"/>
      <c r="QRW1" s="235"/>
      <c r="QRX1" s="235"/>
      <c r="QRY1" s="235"/>
      <c r="QRZ1" s="235"/>
      <c r="QSA1" s="235"/>
      <c r="QSB1" s="235"/>
      <c r="QSC1" s="235"/>
      <c r="QSD1" s="235"/>
      <c r="QSE1" s="235"/>
      <c r="QSF1" s="235"/>
      <c r="QSG1" s="235"/>
      <c r="QSH1" s="235"/>
      <c r="QSI1" s="235"/>
      <c r="QSJ1" s="235"/>
      <c r="QSK1" s="235"/>
      <c r="QSL1" s="235"/>
      <c r="QSM1" s="235"/>
      <c r="QSN1" s="235"/>
      <c r="QSO1" s="235"/>
      <c r="QSP1" s="235"/>
      <c r="QSQ1" s="235"/>
      <c r="QSR1" s="235"/>
      <c r="QSS1" s="235"/>
      <c r="QST1" s="235"/>
      <c r="QSU1" s="235"/>
      <c r="QSV1" s="235"/>
      <c r="QSW1" s="235"/>
      <c r="QSX1" s="235"/>
      <c r="QSY1" s="235"/>
      <c r="QSZ1" s="235"/>
      <c r="QTA1" s="235"/>
      <c r="QTB1" s="235"/>
      <c r="QTC1" s="235"/>
      <c r="QTD1" s="235"/>
      <c r="QTE1" s="235"/>
      <c r="QTF1" s="235"/>
      <c r="QTG1" s="235"/>
      <c r="QTH1" s="235"/>
      <c r="QTI1" s="235"/>
      <c r="QTJ1" s="235"/>
      <c r="QTK1" s="235"/>
      <c r="QTL1" s="235"/>
      <c r="QTM1" s="235"/>
      <c r="QTN1" s="235"/>
      <c r="QTO1" s="235"/>
      <c r="QTP1" s="235"/>
      <c r="QTQ1" s="235"/>
      <c r="QTR1" s="235"/>
      <c r="QTS1" s="235"/>
      <c r="QTT1" s="235"/>
      <c r="QTU1" s="235"/>
      <c r="QTV1" s="235"/>
      <c r="QTW1" s="235"/>
      <c r="QTX1" s="235"/>
      <c r="QTY1" s="235"/>
      <c r="QTZ1" s="235"/>
      <c r="QUA1" s="235"/>
      <c r="QUB1" s="235"/>
      <c r="QUC1" s="235"/>
      <c r="QUD1" s="235"/>
      <c r="QUE1" s="235"/>
      <c r="QUF1" s="235"/>
      <c r="QUG1" s="235"/>
      <c r="QUH1" s="235"/>
      <c r="QUI1" s="235"/>
      <c r="QUJ1" s="235"/>
      <c r="QUK1" s="235"/>
      <c r="QUL1" s="235"/>
      <c r="QUM1" s="235"/>
      <c r="QUN1" s="235"/>
      <c r="QUO1" s="235"/>
      <c r="QUP1" s="235"/>
      <c r="QUQ1" s="235"/>
      <c r="QUR1" s="235"/>
      <c r="QUS1" s="235"/>
      <c r="QUT1" s="235"/>
      <c r="QUU1" s="235"/>
      <c r="QUV1" s="235"/>
      <c r="QUW1" s="235"/>
      <c r="QUX1" s="235"/>
      <c r="QUY1" s="235"/>
      <c r="QUZ1" s="235"/>
      <c r="QVA1" s="235"/>
      <c r="QVB1" s="235"/>
      <c r="QVC1" s="235"/>
      <c r="QVD1" s="235"/>
      <c r="QVE1" s="235"/>
      <c r="QVF1" s="235"/>
      <c r="QVG1" s="235"/>
      <c r="QVH1" s="235"/>
      <c r="QVI1" s="235"/>
      <c r="QVJ1" s="235"/>
      <c r="QVK1" s="235"/>
      <c r="QVL1" s="235"/>
      <c r="QVM1" s="235"/>
      <c r="QVN1" s="235"/>
      <c r="QVO1" s="235"/>
      <c r="QVP1" s="235"/>
      <c r="QVQ1" s="235"/>
      <c r="QVR1" s="235"/>
      <c r="QVS1" s="235"/>
      <c r="QVT1" s="235"/>
      <c r="QVU1" s="235"/>
      <c r="QVV1" s="235"/>
      <c r="QVW1" s="235"/>
      <c r="QVX1" s="235"/>
      <c r="QVY1" s="235"/>
      <c r="QVZ1" s="235"/>
      <c r="QWA1" s="235"/>
      <c r="QWB1" s="235"/>
      <c r="QWC1" s="235"/>
      <c r="QWD1" s="235"/>
      <c r="QWE1" s="235"/>
      <c r="QWF1" s="235"/>
      <c r="QWG1" s="235"/>
      <c r="QWH1" s="235"/>
      <c r="QWI1" s="235"/>
      <c r="QWJ1" s="235"/>
      <c r="QWK1" s="235"/>
      <c r="QWL1" s="235"/>
      <c r="QWM1" s="235"/>
      <c r="QWN1" s="235"/>
      <c r="QWO1" s="235"/>
      <c r="QWP1" s="235"/>
      <c r="QWQ1" s="235"/>
      <c r="QWR1" s="235"/>
      <c r="QWS1" s="235"/>
      <c r="QWT1" s="235"/>
      <c r="QWU1" s="235"/>
      <c r="QWV1" s="235"/>
      <c r="QWW1" s="235"/>
      <c r="QWX1" s="235"/>
      <c r="QWY1" s="235"/>
      <c r="QWZ1" s="235"/>
      <c r="QXA1" s="235"/>
      <c r="QXB1" s="235"/>
      <c r="QXC1" s="235"/>
      <c r="QXD1" s="235"/>
      <c r="QXE1" s="235"/>
      <c r="QXF1" s="235"/>
      <c r="QXG1" s="235"/>
      <c r="QXH1" s="235"/>
      <c r="QXI1" s="235"/>
      <c r="QXJ1" s="235"/>
      <c r="QXK1" s="235"/>
      <c r="QXL1" s="235"/>
      <c r="QXM1" s="235"/>
      <c r="QXN1" s="235"/>
      <c r="QXO1" s="235"/>
      <c r="QXP1" s="235"/>
      <c r="QXQ1" s="235"/>
      <c r="QXR1" s="235"/>
      <c r="QXS1" s="235"/>
      <c r="QXT1" s="235"/>
      <c r="QXU1" s="235"/>
      <c r="QXV1" s="235"/>
      <c r="QXW1" s="235"/>
      <c r="QXX1" s="235"/>
      <c r="QXY1" s="235"/>
      <c r="QXZ1" s="235"/>
      <c r="QYA1" s="235"/>
      <c r="QYB1" s="235"/>
      <c r="QYC1" s="235"/>
      <c r="QYD1" s="235"/>
      <c r="QYE1" s="235"/>
      <c r="QYF1" s="235"/>
      <c r="QYG1" s="235"/>
      <c r="QYH1" s="235"/>
      <c r="QYI1" s="235"/>
      <c r="QYJ1" s="235"/>
      <c r="QYK1" s="235"/>
      <c r="QYL1" s="235"/>
      <c r="QYM1" s="235"/>
      <c r="QYN1" s="235"/>
      <c r="QYO1" s="235"/>
      <c r="QYP1" s="235"/>
      <c r="QYQ1" s="235"/>
      <c r="QYR1" s="235"/>
      <c r="QYS1" s="235"/>
      <c r="QYT1" s="235"/>
      <c r="QYU1" s="235"/>
      <c r="QYV1" s="235"/>
      <c r="QYW1" s="235"/>
      <c r="QYX1" s="235"/>
      <c r="QYY1" s="235"/>
      <c r="QYZ1" s="235"/>
      <c r="QZA1" s="235"/>
      <c r="QZB1" s="235"/>
      <c r="QZC1" s="235"/>
      <c r="QZD1" s="235"/>
      <c r="QZE1" s="235"/>
      <c r="QZF1" s="235"/>
      <c r="QZG1" s="235"/>
      <c r="QZH1" s="235"/>
      <c r="QZI1" s="235"/>
      <c r="QZJ1" s="235"/>
      <c r="QZK1" s="235"/>
      <c r="QZL1" s="235"/>
      <c r="QZM1" s="235"/>
      <c r="QZN1" s="235"/>
      <c r="QZO1" s="235"/>
      <c r="QZP1" s="235"/>
      <c r="QZQ1" s="235"/>
      <c r="QZR1" s="235"/>
      <c r="QZS1" s="235"/>
      <c r="QZT1" s="235"/>
      <c r="QZU1" s="235"/>
      <c r="QZV1" s="235"/>
      <c r="QZW1" s="235"/>
      <c r="QZX1" s="235"/>
      <c r="QZY1" s="235"/>
      <c r="QZZ1" s="235"/>
      <c r="RAA1" s="235"/>
      <c r="RAB1" s="235"/>
      <c r="RAC1" s="235"/>
      <c r="RAD1" s="235"/>
      <c r="RAE1" s="235"/>
      <c r="RAF1" s="235"/>
      <c r="RAG1" s="235"/>
      <c r="RAH1" s="235"/>
      <c r="RAI1" s="235"/>
      <c r="RAJ1" s="235"/>
      <c r="RAK1" s="235"/>
      <c r="RAL1" s="235"/>
      <c r="RAM1" s="235"/>
      <c r="RAN1" s="235"/>
      <c r="RAO1" s="235"/>
      <c r="RAP1" s="235"/>
      <c r="RAQ1" s="235"/>
      <c r="RAR1" s="235"/>
      <c r="RAS1" s="235"/>
      <c r="RAT1" s="235"/>
      <c r="RAU1" s="235"/>
      <c r="RAV1" s="235"/>
      <c r="RAW1" s="235"/>
      <c r="RAX1" s="235"/>
      <c r="RAY1" s="235"/>
      <c r="RAZ1" s="235"/>
      <c r="RBA1" s="235"/>
      <c r="RBB1" s="235"/>
      <c r="RBC1" s="235"/>
      <c r="RBD1" s="235"/>
      <c r="RBE1" s="235"/>
      <c r="RBF1" s="235"/>
      <c r="RBG1" s="235"/>
      <c r="RBH1" s="235"/>
      <c r="RBI1" s="235"/>
      <c r="RBJ1" s="235"/>
      <c r="RBK1" s="235"/>
      <c r="RBL1" s="235"/>
      <c r="RBM1" s="235"/>
      <c r="RBN1" s="235"/>
      <c r="RBO1" s="235"/>
      <c r="RBP1" s="235"/>
      <c r="RBQ1" s="235"/>
      <c r="RBR1" s="235"/>
      <c r="RBS1" s="235"/>
      <c r="RBT1" s="235"/>
      <c r="RBU1" s="235"/>
      <c r="RBV1" s="235"/>
      <c r="RBW1" s="235"/>
      <c r="RBX1" s="235"/>
      <c r="RBY1" s="235"/>
      <c r="RBZ1" s="235"/>
      <c r="RCA1" s="235"/>
      <c r="RCB1" s="235"/>
      <c r="RCC1" s="235"/>
      <c r="RCD1" s="235"/>
      <c r="RCE1" s="235"/>
      <c r="RCF1" s="235"/>
      <c r="RCG1" s="235"/>
      <c r="RCH1" s="235"/>
      <c r="RCI1" s="235"/>
      <c r="RCJ1" s="235"/>
      <c r="RCK1" s="235"/>
      <c r="RCL1" s="235"/>
      <c r="RCM1" s="235"/>
      <c r="RCN1" s="235"/>
      <c r="RCO1" s="235"/>
      <c r="RCP1" s="235"/>
      <c r="RCQ1" s="235"/>
      <c r="RCR1" s="235"/>
      <c r="RCS1" s="235"/>
      <c r="RCT1" s="235"/>
      <c r="RCU1" s="235"/>
      <c r="RCV1" s="235"/>
      <c r="RCW1" s="235"/>
      <c r="RCX1" s="235"/>
      <c r="RCY1" s="235"/>
      <c r="RCZ1" s="235"/>
      <c r="RDA1" s="235"/>
      <c r="RDB1" s="235"/>
      <c r="RDC1" s="235"/>
      <c r="RDD1" s="235"/>
      <c r="RDE1" s="235"/>
      <c r="RDF1" s="235"/>
      <c r="RDG1" s="235"/>
      <c r="RDH1" s="235"/>
      <c r="RDI1" s="235"/>
      <c r="RDJ1" s="235"/>
      <c r="RDK1" s="235"/>
      <c r="RDL1" s="235"/>
      <c r="RDM1" s="235"/>
      <c r="RDN1" s="235"/>
      <c r="RDO1" s="235"/>
      <c r="RDP1" s="235"/>
      <c r="RDQ1" s="235"/>
      <c r="RDR1" s="235"/>
      <c r="RDS1" s="235"/>
      <c r="RDT1" s="235"/>
      <c r="RDU1" s="235"/>
      <c r="RDV1" s="235"/>
      <c r="RDW1" s="235"/>
      <c r="RDX1" s="235"/>
      <c r="RDY1" s="235"/>
      <c r="RDZ1" s="235"/>
      <c r="REA1" s="235"/>
      <c r="REB1" s="235"/>
      <c r="REC1" s="235"/>
      <c r="RED1" s="235"/>
      <c r="REE1" s="235"/>
      <c r="REF1" s="235"/>
      <c r="REG1" s="235"/>
      <c r="REH1" s="235"/>
      <c r="REI1" s="235"/>
      <c r="REJ1" s="235"/>
      <c r="REK1" s="235"/>
      <c r="REL1" s="235"/>
      <c r="REM1" s="235"/>
      <c r="REN1" s="235"/>
      <c r="REO1" s="235"/>
      <c r="REP1" s="235"/>
      <c r="REQ1" s="235"/>
      <c r="RER1" s="235"/>
      <c r="RES1" s="235"/>
      <c r="RET1" s="235"/>
      <c r="REU1" s="235"/>
      <c r="REV1" s="235"/>
      <c r="REW1" s="235"/>
      <c r="REX1" s="235"/>
      <c r="REY1" s="235"/>
      <c r="REZ1" s="235"/>
      <c r="RFA1" s="235"/>
      <c r="RFB1" s="235"/>
      <c r="RFC1" s="235"/>
      <c r="RFD1" s="235"/>
      <c r="RFE1" s="235"/>
      <c r="RFF1" s="235"/>
      <c r="RFG1" s="235"/>
      <c r="RFH1" s="235"/>
      <c r="RFI1" s="235"/>
      <c r="RFJ1" s="235"/>
      <c r="RFK1" s="235"/>
      <c r="RFL1" s="235"/>
      <c r="RFM1" s="235"/>
      <c r="RFN1" s="235"/>
      <c r="RFO1" s="235"/>
      <c r="RFP1" s="235"/>
      <c r="RFQ1" s="235"/>
      <c r="RFR1" s="235"/>
      <c r="RFS1" s="235"/>
      <c r="RFT1" s="235"/>
      <c r="RFU1" s="235"/>
      <c r="RFV1" s="235"/>
      <c r="RFW1" s="235"/>
      <c r="RFX1" s="235"/>
      <c r="RFY1" s="235"/>
      <c r="RFZ1" s="235"/>
      <c r="RGA1" s="235"/>
      <c r="RGB1" s="235"/>
      <c r="RGC1" s="235"/>
      <c r="RGD1" s="235"/>
      <c r="RGE1" s="235"/>
      <c r="RGF1" s="235"/>
      <c r="RGG1" s="235"/>
      <c r="RGH1" s="235"/>
      <c r="RGI1" s="235"/>
      <c r="RGJ1" s="235"/>
      <c r="RGK1" s="235"/>
      <c r="RGL1" s="235"/>
      <c r="RGM1" s="235"/>
      <c r="RGN1" s="235"/>
      <c r="RGO1" s="235"/>
      <c r="RGP1" s="235"/>
      <c r="RGQ1" s="235"/>
      <c r="RGR1" s="235"/>
      <c r="RGS1" s="235"/>
      <c r="RGT1" s="235"/>
      <c r="RGU1" s="235"/>
      <c r="RGV1" s="235"/>
      <c r="RGW1" s="235"/>
      <c r="RGX1" s="235"/>
      <c r="RGY1" s="235"/>
      <c r="RGZ1" s="235"/>
      <c r="RHA1" s="235"/>
      <c r="RHB1" s="235"/>
      <c r="RHC1" s="235"/>
      <c r="RHD1" s="235"/>
      <c r="RHE1" s="235"/>
      <c r="RHF1" s="235"/>
      <c r="RHG1" s="235"/>
      <c r="RHH1" s="235"/>
      <c r="RHI1" s="235"/>
      <c r="RHJ1" s="235"/>
      <c r="RHK1" s="235"/>
      <c r="RHL1" s="235"/>
      <c r="RHM1" s="235"/>
      <c r="RHN1" s="235"/>
      <c r="RHO1" s="235"/>
      <c r="RHP1" s="235"/>
      <c r="RHQ1" s="235"/>
      <c r="RHR1" s="235"/>
      <c r="RHS1" s="235"/>
      <c r="RHT1" s="235"/>
      <c r="RHU1" s="235"/>
      <c r="RHV1" s="235"/>
      <c r="RHW1" s="235"/>
      <c r="RHX1" s="235"/>
      <c r="RHY1" s="235"/>
      <c r="RHZ1" s="235"/>
      <c r="RIA1" s="235"/>
      <c r="RIB1" s="235"/>
      <c r="RIC1" s="235"/>
      <c r="RID1" s="235"/>
      <c r="RIE1" s="235"/>
      <c r="RIF1" s="235"/>
      <c r="RIG1" s="235"/>
      <c r="RIH1" s="235"/>
      <c r="RII1" s="235"/>
      <c r="RIJ1" s="235"/>
      <c r="RIK1" s="235"/>
      <c r="RIL1" s="235"/>
      <c r="RIM1" s="235"/>
      <c r="RIN1" s="235"/>
      <c r="RIO1" s="235"/>
      <c r="RIP1" s="235"/>
      <c r="RIQ1" s="235"/>
      <c r="RIR1" s="235"/>
      <c r="RIS1" s="235"/>
      <c r="RIT1" s="235"/>
      <c r="RIU1" s="235"/>
      <c r="RIV1" s="235"/>
      <c r="RIW1" s="235"/>
      <c r="RIX1" s="235"/>
      <c r="RIY1" s="235"/>
      <c r="RIZ1" s="235"/>
      <c r="RJA1" s="235"/>
      <c r="RJB1" s="235"/>
      <c r="RJC1" s="235"/>
      <c r="RJD1" s="235"/>
      <c r="RJE1" s="235"/>
      <c r="RJF1" s="235"/>
      <c r="RJG1" s="235"/>
      <c r="RJH1" s="235"/>
      <c r="RJI1" s="235"/>
      <c r="RJJ1" s="235"/>
      <c r="RJK1" s="235"/>
      <c r="RJL1" s="235"/>
      <c r="RJM1" s="235"/>
      <c r="RJN1" s="235"/>
      <c r="RJO1" s="235"/>
      <c r="RJP1" s="235"/>
      <c r="RJQ1" s="235"/>
      <c r="RJR1" s="235"/>
      <c r="RJS1" s="235"/>
      <c r="RJT1" s="235"/>
      <c r="RJU1" s="235"/>
      <c r="RJV1" s="235"/>
      <c r="RJW1" s="235"/>
      <c r="RJX1" s="235"/>
      <c r="RJY1" s="235"/>
      <c r="RJZ1" s="235"/>
      <c r="RKA1" s="235"/>
      <c r="RKB1" s="235"/>
      <c r="RKC1" s="235"/>
      <c r="RKD1" s="235"/>
      <c r="RKE1" s="235"/>
      <c r="RKF1" s="235"/>
      <c r="RKG1" s="235"/>
      <c r="RKH1" s="235"/>
      <c r="RKI1" s="235"/>
      <c r="RKJ1" s="235"/>
      <c r="RKK1" s="235"/>
      <c r="RKL1" s="235"/>
      <c r="RKM1" s="235"/>
      <c r="RKN1" s="235"/>
      <c r="RKO1" s="235"/>
      <c r="RKP1" s="235"/>
      <c r="RKQ1" s="235"/>
      <c r="RKR1" s="235"/>
      <c r="RKS1" s="235"/>
      <c r="RKT1" s="235"/>
      <c r="RKU1" s="235"/>
      <c r="RKV1" s="235"/>
      <c r="RKW1" s="235"/>
      <c r="RKX1" s="235"/>
      <c r="RKY1" s="235"/>
      <c r="RKZ1" s="235"/>
      <c r="RLA1" s="235"/>
      <c r="RLB1" s="235"/>
      <c r="RLC1" s="235"/>
      <c r="RLD1" s="235"/>
      <c r="RLE1" s="235"/>
      <c r="RLF1" s="235"/>
      <c r="RLG1" s="235"/>
      <c r="RLH1" s="235"/>
      <c r="RLI1" s="235"/>
      <c r="RLJ1" s="235"/>
      <c r="RLK1" s="235"/>
      <c r="RLL1" s="235"/>
      <c r="RLM1" s="235"/>
      <c r="RLN1" s="235"/>
      <c r="RLO1" s="235"/>
      <c r="RLP1" s="235"/>
      <c r="RLQ1" s="235"/>
      <c r="RLR1" s="235"/>
      <c r="RLS1" s="235"/>
      <c r="RLT1" s="235"/>
      <c r="RLU1" s="235"/>
      <c r="RLV1" s="235"/>
      <c r="RLW1" s="235"/>
      <c r="RLX1" s="235"/>
      <c r="RLY1" s="235"/>
      <c r="RLZ1" s="235"/>
      <c r="RMA1" s="235"/>
      <c r="RMB1" s="235"/>
      <c r="RMC1" s="235"/>
      <c r="RMD1" s="235"/>
      <c r="RME1" s="235"/>
      <c r="RMF1" s="235"/>
      <c r="RMG1" s="235"/>
      <c r="RMH1" s="235"/>
      <c r="RMI1" s="235"/>
      <c r="RMJ1" s="235"/>
      <c r="RMK1" s="235"/>
      <c r="RML1" s="235"/>
      <c r="RMM1" s="235"/>
      <c r="RMN1" s="235"/>
      <c r="RMO1" s="235"/>
      <c r="RMP1" s="235"/>
      <c r="RMQ1" s="235"/>
      <c r="RMR1" s="235"/>
      <c r="RMS1" s="235"/>
      <c r="RMT1" s="235"/>
      <c r="RMU1" s="235"/>
      <c r="RMV1" s="235"/>
      <c r="RMW1" s="235"/>
      <c r="RMX1" s="235"/>
      <c r="RMY1" s="235"/>
      <c r="RMZ1" s="235"/>
      <c r="RNA1" s="235"/>
      <c r="RNB1" s="235"/>
      <c r="RNC1" s="235"/>
      <c r="RND1" s="235"/>
      <c r="RNE1" s="235"/>
      <c r="RNF1" s="235"/>
      <c r="RNG1" s="235"/>
      <c r="RNH1" s="235"/>
      <c r="RNI1" s="235"/>
      <c r="RNJ1" s="235"/>
      <c r="RNK1" s="235"/>
      <c r="RNL1" s="235"/>
      <c r="RNM1" s="235"/>
      <c r="RNN1" s="235"/>
      <c r="RNO1" s="235"/>
      <c r="RNP1" s="235"/>
      <c r="RNQ1" s="235"/>
      <c r="RNR1" s="235"/>
      <c r="RNS1" s="235"/>
      <c r="RNT1" s="235"/>
      <c r="RNU1" s="235"/>
      <c r="RNV1" s="235"/>
      <c r="RNW1" s="235"/>
      <c r="RNX1" s="235"/>
      <c r="RNY1" s="235"/>
      <c r="RNZ1" s="235"/>
      <c r="ROA1" s="235"/>
      <c r="ROB1" s="235"/>
      <c r="ROC1" s="235"/>
      <c r="ROD1" s="235"/>
      <c r="ROE1" s="235"/>
      <c r="ROF1" s="235"/>
      <c r="ROG1" s="235"/>
      <c r="ROH1" s="235"/>
      <c r="ROI1" s="235"/>
      <c r="ROJ1" s="235"/>
      <c r="ROK1" s="235"/>
      <c r="ROL1" s="235"/>
      <c r="ROM1" s="235"/>
      <c r="RON1" s="235"/>
      <c r="ROO1" s="235"/>
      <c r="ROP1" s="235"/>
      <c r="ROQ1" s="235"/>
      <c r="ROR1" s="235"/>
      <c r="ROS1" s="235"/>
      <c r="ROT1" s="235"/>
      <c r="ROU1" s="235"/>
      <c r="ROV1" s="235"/>
      <c r="ROW1" s="235"/>
      <c r="ROX1" s="235"/>
      <c r="ROY1" s="235"/>
      <c r="ROZ1" s="235"/>
      <c r="RPA1" s="235"/>
      <c r="RPB1" s="235"/>
      <c r="RPC1" s="235"/>
      <c r="RPD1" s="235"/>
      <c r="RPE1" s="235"/>
      <c r="RPF1" s="235"/>
      <c r="RPG1" s="235"/>
      <c r="RPH1" s="235"/>
      <c r="RPI1" s="235"/>
      <c r="RPJ1" s="235"/>
      <c r="RPK1" s="235"/>
      <c r="RPL1" s="235"/>
      <c r="RPM1" s="235"/>
      <c r="RPN1" s="235"/>
      <c r="RPO1" s="235"/>
      <c r="RPP1" s="235"/>
      <c r="RPQ1" s="235"/>
      <c r="RPR1" s="235"/>
      <c r="RPS1" s="235"/>
      <c r="RPT1" s="235"/>
      <c r="RPU1" s="235"/>
      <c r="RPV1" s="235"/>
      <c r="RPW1" s="235"/>
      <c r="RPX1" s="235"/>
      <c r="RPY1" s="235"/>
      <c r="RPZ1" s="235"/>
      <c r="RQA1" s="235"/>
      <c r="RQB1" s="235"/>
      <c r="RQC1" s="235"/>
      <c r="RQD1" s="235"/>
      <c r="RQE1" s="235"/>
      <c r="RQF1" s="235"/>
      <c r="RQG1" s="235"/>
      <c r="RQH1" s="235"/>
      <c r="RQI1" s="235"/>
      <c r="RQJ1" s="235"/>
      <c r="RQK1" s="235"/>
      <c r="RQL1" s="235"/>
      <c r="RQM1" s="235"/>
      <c r="RQN1" s="235"/>
      <c r="RQO1" s="235"/>
      <c r="RQP1" s="235"/>
      <c r="RQQ1" s="235"/>
      <c r="RQR1" s="235"/>
      <c r="RQS1" s="235"/>
      <c r="RQT1" s="235"/>
      <c r="RQU1" s="235"/>
      <c r="RQV1" s="235"/>
      <c r="RQW1" s="235"/>
      <c r="RQX1" s="235"/>
      <c r="RQY1" s="235"/>
      <c r="RQZ1" s="235"/>
      <c r="RRA1" s="235"/>
      <c r="RRB1" s="235"/>
      <c r="RRC1" s="235"/>
      <c r="RRD1" s="235"/>
      <c r="RRE1" s="235"/>
      <c r="RRF1" s="235"/>
      <c r="RRG1" s="235"/>
      <c r="RRH1" s="235"/>
      <c r="RRI1" s="235"/>
      <c r="RRJ1" s="235"/>
      <c r="RRK1" s="235"/>
      <c r="RRL1" s="235"/>
      <c r="RRM1" s="235"/>
      <c r="RRN1" s="235"/>
      <c r="RRO1" s="235"/>
      <c r="RRP1" s="235"/>
      <c r="RRQ1" s="235"/>
      <c r="RRR1" s="235"/>
      <c r="RRS1" s="235"/>
      <c r="RRT1" s="235"/>
      <c r="RRU1" s="235"/>
      <c r="RRV1" s="235"/>
      <c r="RRW1" s="235"/>
      <c r="RRX1" s="235"/>
      <c r="RRY1" s="235"/>
      <c r="RRZ1" s="235"/>
      <c r="RSA1" s="235"/>
      <c r="RSB1" s="235"/>
      <c r="RSC1" s="235"/>
      <c r="RSD1" s="235"/>
      <c r="RSE1" s="235"/>
      <c r="RSF1" s="235"/>
      <c r="RSG1" s="235"/>
      <c r="RSH1" s="235"/>
      <c r="RSI1" s="235"/>
      <c r="RSJ1" s="235"/>
      <c r="RSK1" s="235"/>
      <c r="RSL1" s="235"/>
      <c r="RSM1" s="235"/>
      <c r="RSN1" s="235"/>
      <c r="RSO1" s="235"/>
      <c r="RSP1" s="235"/>
      <c r="RSQ1" s="235"/>
      <c r="RSR1" s="235"/>
      <c r="RSS1" s="235"/>
      <c r="RST1" s="235"/>
      <c r="RSU1" s="235"/>
      <c r="RSV1" s="235"/>
      <c r="RSW1" s="235"/>
      <c r="RSX1" s="235"/>
      <c r="RSY1" s="235"/>
      <c r="RSZ1" s="235"/>
      <c r="RTA1" s="235"/>
      <c r="RTB1" s="235"/>
      <c r="RTC1" s="235"/>
      <c r="RTD1" s="235"/>
      <c r="RTE1" s="235"/>
      <c r="RTF1" s="235"/>
      <c r="RTG1" s="235"/>
      <c r="RTH1" s="235"/>
      <c r="RTI1" s="235"/>
      <c r="RTJ1" s="235"/>
      <c r="RTK1" s="235"/>
      <c r="RTL1" s="235"/>
      <c r="RTM1" s="235"/>
      <c r="RTN1" s="235"/>
      <c r="RTO1" s="235"/>
      <c r="RTP1" s="235"/>
      <c r="RTQ1" s="235"/>
      <c r="RTR1" s="235"/>
      <c r="RTS1" s="235"/>
      <c r="RTT1" s="235"/>
      <c r="RTU1" s="235"/>
      <c r="RTV1" s="235"/>
      <c r="RTW1" s="235"/>
      <c r="RTX1" s="235"/>
      <c r="RTY1" s="235"/>
      <c r="RTZ1" s="235"/>
      <c r="RUA1" s="235"/>
      <c r="RUB1" s="235"/>
      <c r="RUC1" s="235"/>
      <c r="RUD1" s="235"/>
      <c r="RUE1" s="235"/>
      <c r="RUF1" s="235"/>
      <c r="RUG1" s="235"/>
      <c r="RUH1" s="235"/>
      <c r="RUI1" s="235"/>
      <c r="RUJ1" s="235"/>
      <c r="RUK1" s="235"/>
      <c r="RUL1" s="235"/>
      <c r="RUM1" s="235"/>
      <c r="RUN1" s="235"/>
      <c r="RUO1" s="235"/>
      <c r="RUP1" s="235"/>
      <c r="RUQ1" s="235"/>
      <c r="RUR1" s="235"/>
      <c r="RUS1" s="235"/>
      <c r="RUT1" s="235"/>
      <c r="RUU1" s="235"/>
      <c r="RUV1" s="235"/>
      <c r="RUW1" s="235"/>
      <c r="RUX1" s="235"/>
      <c r="RUY1" s="235"/>
      <c r="RUZ1" s="235"/>
      <c r="RVA1" s="235"/>
      <c r="RVB1" s="235"/>
      <c r="RVC1" s="235"/>
      <c r="RVD1" s="235"/>
      <c r="RVE1" s="235"/>
      <c r="RVF1" s="235"/>
      <c r="RVG1" s="235"/>
      <c r="RVH1" s="235"/>
      <c r="RVI1" s="235"/>
      <c r="RVJ1" s="235"/>
      <c r="RVK1" s="235"/>
      <c r="RVL1" s="235"/>
      <c r="RVM1" s="235"/>
      <c r="RVN1" s="235"/>
      <c r="RVO1" s="235"/>
      <c r="RVP1" s="235"/>
      <c r="RVQ1" s="235"/>
      <c r="RVR1" s="235"/>
      <c r="RVS1" s="235"/>
      <c r="RVT1" s="235"/>
      <c r="RVU1" s="235"/>
      <c r="RVV1" s="235"/>
      <c r="RVW1" s="235"/>
      <c r="RVX1" s="235"/>
      <c r="RVY1" s="235"/>
      <c r="RVZ1" s="235"/>
      <c r="RWA1" s="235"/>
      <c r="RWB1" s="235"/>
      <c r="RWC1" s="235"/>
      <c r="RWD1" s="235"/>
      <c r="RWE1" s="235"/>
      <c r="RWF1" s="235"/>
      <c r="RWG1" s="235"/>
      <c r="RWH1" s="235"/>
      <c r="RWI1" s="235"/>
      <c r="RWJ1" s="235"/>
      <c r="RWK1" s="235"/>
      <c r="RWL1" s="235"/>
      <c r="RWM1" s="235"/>
      <c r="RWN1" s="235"/>
      <c r="RWO1" s="235"/>
      <c r="RWP1" s="235"/>
      <c r="RWQ1" s="235"/>
      <c r="RWR1" s="235"/>
      <c r="RWS1" s="235"/>
      <c r="RWT1" s="235"/>
      <c r="RWU1" s="235"/>
      <c r="RWV1" s="235"/>
      <c r="RWW1" s="235"/>
      <c r="RWX1" s="235"/>
      <c r="RWY1" s="235"/>
      <c r="RWZ1" s="235"/>
      <c r="RXA1" s="235"/>
      <c r="RXB1" s="235"/>
      <c r="RXC1" s="235"/>
      <c r="RXD1" s="235"/>
      <c r="RXE1" s="235"/>
      <c r="RXF1" s="235"/>
      <c r="RXG1" s="235"/>
      <c r="RXH1" s="235"/>
      <c r="RXI1" s="235"/>
      <c r="RXJ1" s="235"/>
      <c r="RXK1" s="235"/>
      <c r="RXL1" s="235"/>
      <c r="RXM1" s="235"/>
      <c r="RXN1" s="235"/>
      <c r="RXO1" s="235"/>
      <c r="RXP1" s="235"/>
      <c r="RXQ1" s="235"/>
      <c r="RXR1" s="235"/>
      <c r="RXS1" s="235"/>
      <c r="RXT1" s="235"/>
      <c r="RXU1" s="235"/>
      <c r="RXV1" s="235"/>
      <c r="RXW1" s="235"/>
      <c r="RXX1" s="235"/>
      <c r="RXY1" s="235"/>
      <c r="RXZ1" s="235"/>
      <c r="RYA1" s="235"/>
      <c r="RYB1" s="235"/>
      <c r="RYC1" s="235"/>
      <c r="RYD1" s="235"/>
      <c r="RYE1" s="235"/>
      <c r="RYF1" s="235"/>
      <c r="RYG1" s="235"/>
      <c r="RYH1" s="235"/>
      <c r="RYI1" s="235"/>
      <c r="RYJ1" s="235"/>
      <c r="RYK1" s="235"/>
      <c r="RYL1" s="235"/>
      <c r="RYM1" s="235"/>
      <c r="RYN1" s="235"/>
      <c r="RYO1" s="235"/>
      <c r="RYP1" s="235"/>
      <c r="RYQ1" s="235"/>
      <c r="RYR1" s="235"/>
      <c r="RYS1" s="235"/>
      <c r="RYT1" s="235"/>
      <c r="RYU1" s="235"/>
      <c r="RYV1" s="235"/>
      <c r="RYW1" s="235"/>
      <c r="RYX1" s="235"/>
      <c r="RYY1" s="235"/>
      <c r="RYZ1" s="235"/>
      <c r="RZA1" s="235"/>
      <c r="RZB1" s="235"/>
      <c r="RZC1" s="235"/>
      <c r="RZD1" s="235"/>
      <c r="RZE1" s="235"/>
      <c r="RZF1" s="235"/>
      <c r="RZG1" s="235"/>
      <c r="RZH1" s="235"/>
      <c r="RZI1" s="235"/>
      <c r="RZJ1" s="235"/>
      <c r="RZK1" s="235"/>
      <c r="RZL1" s="235"/>
      <c r="RZM1" s="235"/>
      <c r="RZN1" s="235"/>
      <c r="RZO1" s="235"/>
      <c r="RZP1" s="235"/>
      <c r="RZQ1" s="235"/>
      <c r="RZR1" s="235"/>
      <c r="RZS1" s="235"/>
      <c r="RZT1" s="235"/>
      <c r="RZU1" s="235"/>
      <c r="RZV1" s="235"/>
      <c r="RZW1" s="235"/>
      <c r="RZX1" s="235"/>
      <c r="RZY1" s="235"/>
      <c r="RZZ1" s="235"/>
      <c r="SAA1" s="235"/>
      <c r="SAB1" s="235"/>
      <c r="SAC1" s="235"/>
      <c r="SAD1" s="235"/>
      <c r="SAE1" s="235"/>
      <c r="SAF1" s="235"/>
      <c r="SAG1" s="235"/>
      <c r="SAH1" s="235"/>
      <c r="SAI1" s="235"/>
      <c r="SAJ1" s="235"/>
      <c r="SAK1" s="235"/>
      <c r="SAL1" s="235"/>
      <c r="SAM1" s="235"/>
      <c r="SAN1" s="235"/>
      <c r="SAO1" s="235"/>
      <c r="SAP1" s="235"/>
      <c r="SAQ1" s="235"/>
      <c r="SAR1" s="235"/>
      <c r="SAS1" s="235"/>
      <c r="SAT1" s="235"/>
      <c r="SAU1" s="235"/>
      <c r="SAV1" s="235"/>
      <c r="SAW1" s="235"/>
      <c r="SAX1" s="235"/>
      <c r="SAY1" s="235"/>
      <c r="SAZ1" s="235"/>
      <c r="SBA1" s="235"/>
      <c r="SBB1" s="235"/>
      <c r="SBC1" s="235"/>
      <c r="SBD1" s="235"/>
      <c r="SBE1" s="235"/>
      <c r="SBF1" s="235"/>
      <c r="SBG1" s="235"/>
      <c r="SBH1" s="235"/>
      <c r="SBI1" s="235"/>
      <c r="SBJ1" s="235"/>
      <c r="SBK1" s="235"/>
      <c r="SBL1" s="235"/>
      <c r="SBM1" s="235"/>
      <c r="SBN1" s="235"/>
      <c r="SBO1" s="235"/>
      <c r="SBP1" s="235"/>
      <c r="SBQ1" s="235"/>
      <c r="SBR1" s="235"/>
      <c r="SBS1" s="235"/>
      <c r="SBT1" s="235"/>
      <c r="SBU1" s="235"/>
      <c r="SBV1" s="235"/>
      <c r="SBW1" s="235"/>
      <c r="SBX1" s="235"/>
      <c r="SBY1" s="235"/>
      <c r="SBZ1" s="235"/>
      <c r="SCA1" s="235"/>
      <c r="SCB1" s="235"/>
      <c r="SCC1" s="235"/>
      <c r="SCD1" s="235"/>
      <c r="SCE1" s="235"/>
      <c r="SCF1" s="235"/>
      <c r="SCG1" s="235"/>
      <c r="SCH1" s="235"/>
      <c r="SCI1" s="235"/>
      <c r="SCJ1" s="235"/>
      <c r="SCK1" s="235"/>
      <c r="SCL1" s="235"/>
      <c r="SCM1" s="235"/>
      <c r="SCN1" s="235"/>
      <c r="SCO1" s="235"/>
      <c r="SCP1" s="235"/>
      <c r="SCQ1" s="235"/>
      <c r="SCR1" s="235"/>
      <c r="SCS1" s="235"/>
      <c r="SCT1" s="235"/>
      <c r="SCU1" s="235"/>
      <c r="SCV1" s="235"/>
      <c r="SCW1" s="235"/>
      <c r="SCX1" s="235"/>
      <c r="SCY1" s="235"/>
      <c r="SCZ1" s="235"/>
      <c r="SDA1" s="235"/>
      <c r="SDB1" s="235"/>
      <c r="SDC1" s="235"/>
      <c r="SDD1" s="235"/>
      <c r="SDE1" s="235"/>
      <c r="SDF1" s="235"/>
      <c r="SDG1" s="235"/>
      <c r="SDH1" s="235"/>
      <c r="SDI1" s="235"/>
      <c r="SDJ1" s="235"/>
      <c r="SDK1" s="235"/>
      <c r="SDL1" s="235"/>
      <c r="SDM1" s="235"/>
      <c r="SDN1" s="235"/>
      <c r="SDO1" s="235"/>
      <c r="SDP1" s="235"/>
      <c r="SDQ1" s="235"/>
      <c r="SDR1" s="235"/>
      <c r="SDS1" s="235"/>
      <c r="SDT1" s="235"/>
      <c r="SDU1" s="235"/>
      <c r="SDV1" s="235"/>
      <c r="SDW1" s="235"/>
      <c r="SDX1" s="235"/>
      <c r="SDY1" s="235"/>
      <c r="SDZ1" s="235"/>
      <c r="SEA1" s="235"/>
      <c r="SEB1" s="235"/>
      <c r="SEC1" s="235"/>
      <c r="SED1" s="235"/>
      <c r="SEE1" s="235"/>
      <c r="SEF1" s="235"/>
      <c r="SEG1" s="235"/>
      <c r="SEH1" s="235"/>
      <c r="SEI1" s="235"/>
      <c r="SEJ1" s="235"/>
      <c r="SEK1" s="235"/>
      <c r="SEL1" s="235"/>
      <c r="SEM1" s="235"/>
      <c r="SEN1" s="235"/>
      <c r="SEO1" s="235"/>
      <c r="SEP1" s="235"/>
      <c r="SEQ1" s="235"/>
      <c r="SER1" s="235"/>
      <c r="SES1" s="235"/>
      <c r="SET1" s="235"/>
      <c r="SEU1" s="235"/>
      <c r="SEV1" s="235"/>
      <c r="SEW1" s="235"/>
      <c r="SEX1" s="235"/>
      <c r="SEY1" s="235"/>
      <c r="SEZ1" s="235"/>
      <c r="SFA1" s="235"/>
      <c r="SFB1" s="235"/>
      <c r="SFC1" s="235"/>
      <c r="SFD1" s="235"/>
      <c r="SFE1" s="235"/>
      <c r="SFF1" s="235"/>
      <c r="SFG1" s="235"/>
      <c r="SFH1" s="235"/>
      <c r="SFI1" s="235"/>
      <c r="SFJ1" s="235"/>
      <c r="SFK1" s="235"/>
      <c r="SFL1" s="235"/>
      <c r="SFM1" s="235"/>
      <c r="SFN1" s="235"/>
      <c r="SFO1" s="235"/>
      <c r="SFP1" s="235"/>
      <c r="SFQ1" s="235"/>
      <c r="SFR1" s="235"/>
      <c r="SFS1" s="235"/>
      <c r="SFT1" s="235"/>
      <c r="SFU1" s="235"/>
      <c r="SFV1" s="235"/>
      <c r="SFW1" s="235"/>
      <c r="SFX1" s="235"/>
      <c r="SFY1" s="235"/>
      <c r="SFZ1" s="235"/>
      <c r="SGA1" s="235"/>
      <c r="SGB1" s="235"/>
      <c r="SGC1" s="235"/>
      <c r="SGD1" s="235"/>
      <c r="SGE1" s="235"/>
      <c r="SGF1" s="235"/>
      <c r="SGG1" s="235"/>
      <c r="SGH1" s="235"/>
      <c r="SGI1" s="235"/>
      <c r="SGJ1" s="235"/>
      <c r="SGK1" s="235"/>
      <c r="SGL1" s="235"/>
      <c r="SGM1" s="235"/>
      <c r="SGN1" s="235"/>
      <c r="SGO1" s="235"/>
      <c r="SGP1" s="235"/>
      <c r="SGQ1" s="235"/>
      <c r="SGR1" s="235"/>
      <c r="SGS1" s="235"/>
      <c r="SGT1" s="235"/>
      <c r="SGU1" s="235"/>
      <c r="SGV1" s="235"/>
      <c r="SGW1" s="235"/>
      <c r="SGX1" s="235"/>
      <c r="SGY1" s="235"/>
      <c r="SGZ1" s="235"/>
      <c r="SHA1" s="235"/>
      <c r="SHB1" s="235"/>
      <c r="SHC1" s="235"/>
      <c r="SHD1" s="235"/>
      <c r="SHE1" s="235"/>
      <c r="SHF1" s="235"/>
      <c r="SHG1" s="235"/>
      <c r="SHH1" s="235"/>
      <c r="SHI1" s="235"/>
      <c r="SHJ1" s="235"/>
      <c r="SHK1" s="235"/>
      <c r="SHL1" s="235"/>
      <c r="SHM1" s="235"/>
      <c r="SHN1" s="235"/>
      <c r="SHO1" s="235"/>
      <c r="SHP1" s="235"/>
      <c r="SHQ1" s="235"/>
      <c r="SHR1" s="235"/>
      <c r="SHS1" s="235"/>
      <c r="SHT1" s="235"/>
      <c r="SHU1" s="235"/>
      <c r="SHV1" s="235"/>
      <c r="SHW1" s="235"/>
      <c r="SHX1" s="235"/>
      <c r="SHY1" s="235"/>
      <c r="SHZ1" s="235"/>
      <c r="SIA1" s="235"/>
      <c r="SIB1" s="235"/>
      <c r="SIC1" s="235"/>
      <c r="SID1" s="235"/>
      <c r="SIE1" s="235"/>
      <c r="SIF1" s="235"/>
      <c r="SIG1" s="235"/>
      <c r="SIH1" s="235"/>
      <c r="SII1" s="235"/>
      <c r="SIJ1" s="235"/>
      <c r="SIK1" s="235"/>
      <c r="SIL1" s="235"/>
      <c r="SIM1" s="235"/>
      <c r="SIN1" s="235"/>
      <c r="SIO1" s="235"/>
      <c r="SIP1" s="235"/>
      <c r="SIQ1" s="235"/>
      <c r="SIR1" s="235"/>
      <c r="SIS1" s="235"/>
      <c r="SIT1" s="235"/>
      <c r="SIU1" s="235"/>
      <c r="SIV1" s="235"/>
      <c r="SIW1" s="235"/>
      <c r="SIX1" s="235"/>
      <c r="SIY1" s="235"/>
      <c r="SIZ1" s="235"/>
      <c r="SJA1" s="235"/>
      <c r="SJB1" s="235"/>
      <c r="SJC1" s="235"/>
      <c r="SJD1" s="235"/>
      <c r="SJE1" s="235"/>
      <c r="SJF1" s="235"/>
      <c r="SJG1" s="235"/>
      <c r="SJH1" s="235"/>
      <c r="SJI1" s="235"/>
      <c r="SJJ1" s="235"/>
      <c r="SJK1" s="235"/>
      <c r="SJL1" s="235"/>
      <c r="SJM1" s="235"/>
      <c r="SJN1" s="235"/>
      <c r="SJO1" s="235"/>
      <c r="SJP1" s="235"/>
      <c r="SJQ1" s="235"/>
      <c r="SJR1" s="235"/>
      <c r="SJS1" s="235"/>
      <c r="SJT1" s="235"/>
      <c r="SJU1" s="235"/>
      <c r="SJV1" s="235"/>
      <c r="SJW1" s="235"/>
      <c r="SJX1" s="235"/>
      <c r="SJY1" s="235"/>
      <c r="SJZ1" s="235"/>
      <c r="SKA1" s="235"/>
      <c r="SKB1" s="235"/>
      <c r="SKC1" s="235"/>
      <c r="SKD1" s="235"/>
      <c r="SKE1" s="235"/>
      <c r="SKF1" s="235"/>
      <c r="SKG1" s="235"/>
      <c r="SKH1" s="235"/>
      <c r="SKI1" s="235"/>
      <c r="SKJ1" s="235"/>
      <c r="SKK1" s="235"/>
      <c r="SKL1" s="235"/>
      <c r="SKM1" s="235"/>
      <c r="SKN1" s="235"/>
      <c r="SKO1" s="235"/>
      <c r="SKP1" s="235"/>
      <c r="SKQ1" s="235"/>
      <c r="SKR1" s="235"/>
      <c r="SKS1" s="235"/>
      <c r="SKT1" s="235"/>
      <c r="SKU1" s="235"/>
      <c r="SKV1" s="235"/>
      <c r="SKW1" s="235"/>
      <c r="SKX1" s="235"/>
      <c r="SKY1" s="235"/>
      <c r="SKZ1" s="235"/>
      <c r="SLA1" s="235"/>
      <c r="SLB1" s="235"/>
      <c r="SLC1" s="235"/>
      <c r="SLD1" s="235"/>
      <c r="SLE1" s="235"/>
      <c r="SLF1" s="235"/>
      <c r="SLG1" s="235"/>
      <c r="SLH1" s="235"/>
      <c r="SLI1" s="235"/>
      <c r="SLJ1" s="235"/>
      <c r="SLK1" s="235"/>
      <c r="SLL1" s="235"/>
      <c r="SLM1" s="235"/>
      <c r="SLN1" s="235"/>
      <c r="SLO1" s="235"/>
      <c r="SLP1" s="235"/>
      <c r="SLQ1" s="235"/>
      <c r="SLR1" s="235"/>
      <c r="SLS1" s="235"/>
      <c r="SLT1" s="235"/>
      <c r="SLU1" s="235"/>
      <c r="SLV1" s="235"/>
      <c r="SLW1" s="235"/>
      <c r="SLX1" s="235"/>
      <c r="SLY1" s="235"/>
      <c r="SLZ1" s="235"/>
      <c r="SMA1" s="235"/>
      <c r="SMB1" s="235"/>
      <c r="SMC1" s="235"/>
      <c r="SMD1" s="235"/>
      <c r="SME1" s="235"/>
      <c r="SMF1" s="235"/>
      <c r="SMG1" s="235"/>
      <c r="SMH1" s="235"/>
      <c r="SMI1" s="235"/>
      <c r="SMJ1" s="235"/>
      <c r="SMK1" s="235"/>
      <c r="SML1" s="235"/>
      <c r="SMM1" s="235"/>
      <c r="SMN1" s="235"/>
      <c r="SMO1" s="235"/>
      <c r="SMP1" s="235"/>
      <c r="SMQ1" s="235"/>
      <c r="SMR1" s="235"/>
      <c r="SMS1" s="235"/>
      <c r="SMT1" s="235"/>
      <c r="SMU1" s="235"/>
      <c r="SMV1" s="235"/>
      <c r="SMW1" s="235"/>
      <c r="SMX1" s="235"/>
      <c r="SMY1" s="235"/>
      <c r="SMZ1" s="235"/>
      <c r="SNA1" s="235"/>
      <c r="SNB1" s="235"/>
      <c r="SNC1" s="235"/>
      <c r="SND1" s="235"/>
      <c r="SNE1" s="235"/>
      <c r="SNF1" s="235"/>
      <c r="SNG1" s="235"/>
      <c r="SNH1" s="235"/>
      <c r="SNI1" s="235"/>
      <c r="SNJ1" s="235"/>
      <c r="SNK1" s="235"/>
      <c r="SNL1" s="235"/>
      <c r="SNM1" s="235"/>
      <c r="SNN1" s="235"/>
      <c r="SNO1" s="235"/>
      <c r="SNP1" s="235"/>
      <c r="SNQ1" s="235"/>
      <c r="SNR1" s="235"/>
      <c r="SNS1" s="235"/>
      <c r="SNT1" s="235"/>
      <c r="SNU1" s="235"/>
      <c r="SNV1" s="235"/>
      <c r="SNW1" s="235"/>
      <c r="SNX1" s="235"/>
      <c r="SNY1" s="235"/>
      <c r="SNZ1" s="235"/>
      <c r="SOA1" s="235"/>
      <c r="SOB1" s="235"/>
      <c r="SOC1" s="235"/>
      <c r="SOD1" s="235"/>
      <c r="SOE1" s="235"/>
      <c r="SOF1" s="235"/>
      <c r="SOG1" s="235"/>
      <c r="SOH1" s="235"/>
      <c r="SOI1" s="235"/>
      <c r="SOJ1" s="235"/>
      <c r="SOK1" s="235"/>
      <c r="SOL1" s="235"/>
      <c r="SOM1" s="235"/>
      <c r="SON1" s="235"/>
      <c r="SOO1" s="235"/>
      <c r="SOP1" s="235"/>
      <c r="SOQ1" s="235"/>
      <c r="SOR1" s="235"/>
      <c r="SOS1" s="235"/>
      <c r="SOT1" s="235"/>
      <c r="SOU1" s="235"/>
      <c r="SOV1" s="235"/>
      <c r="SOW1" s="235"/>
      <c r="SOX1" s="235"/>
      <c r="SOY1" s="235"/>
      <c r="SOZ1" s="235"/>
      <c r="SPA1" s="235"/>
      <c r="SPB1" s="235"/>
      <c r="SPC1" s="235"/>
      <c r="SPD1" s="235"/>
      <c r="SPE1" s="235"/>
      <c r="SPF1" s="235"/>
      <c r="SPG1" s="235"/>
      <c r="SPH1" s="235"/>
      <c r="SPI1" s="235"/>
      <c r="SPJ1" s="235"/>
      <c r="SPK1" s="235"/>
      <c r="SPL1" s="235"/>
      <c r="SPM1" s="235"/>
      <c r="SPN1" s="235"/>
      <c r="SPO1" s="235"/>
      <c r="SPP1" s="235"/>
      <c r="SPQ1" s="235"/>
      <c r="SPR1" s="235"/>
      <c r="SPS1" s="235"/>
      <c r="SPT1" s="235"/>
      <c r="SPU1" s="235"/>
      <c r="SPV1" s="235"/>
      <c r="SPW1" s="235"/>
      <c r="SPX1" s="235"/>
      <c r="SPY1" s="235"/>
      <c r="SPZ1" s="235"/>
      <c r="SQA1" s="235"/>
      <c r="SQB1" s="235"/>
      <c r="SQC1" s="235"/>
      <c r="SQD1" s="235"/>
      <c r="SQE1" s="235"/>
      <c r="SQF1" s="235"/>
      <c r="SQG1" s="235"/>
      <c r="SQH1" s="235"/>
      <c r="SQI1" s="235"/>
      <c r="SQJ1" s="235"/>
      <c r="SQK1" s="235"/>
      <c r="SQL1" s="235"/>
      <c r="SQM1" s="235"/>
      <c r="SQN1" s="235"/>
      <c r="SQO1" s="235"/>
      <c r="SQP1" s="235"/>
      <c r="SQQ1" s="235"/>
      <c r="SQR1" s="235"/>
      <c r="SQS1" s="235"/>
      <c r="SQT1" s="235"/>
      <c r="SQU1" s="235"/>
      <c r="SQV1" s="235"/>
      <c r="SQW1" s="235"/>
      <c r="SQX1" s="235"/>
      <c r="SQY1" s="235"/>
      <c r="SQZ1" s="235"/>
      <c r="SRA1" s="235"/>
      <c r="SRB1" s="235"/>
      <c r="SRC1" s="235"/>
      <c r="SRD1" s="235"/>
      <c r="SRE1" s="235"/>
      <c r="SRF1" s="235"/>
      <c r="SRG1" s="235"/>
      <c r="SRH1" s="235"/>
      <c r="SRI1" s="235"/>
      <c r="SRJ1" s="235"/>
      <c r="SRK1" s="235"/>
      <c r="SRL1" s="235"/>
      <c r="SRM1" s="235"/>
      <c r="SRN1" s="235"/>
      <c r="SRO1" s="235"/>
      <c r="SRP1" s="235"/>
      <c r="SRQ1" s="235"/>
      <c r="SRR1" s="235"/>
      <c r="SRS1" s="235"/>
      <c r="SRT1" s="235"/>
      <c r="SRU1" s="235"/>
      <c r="SRV1" s="235"/>
      <c r="SRW1" s="235"/>
      <c r="SRX1" s="235"/>
      <c r="SRY1" s="235"/>
      <c r="SRZ1" s="235"/>
      <c r="SSA1" s="235"/>
      <c r="SSB1" s="235"/>
      <c r="SSC1" s="235"/>
      <c r="SSD1" s="235"/>
      <c r="SSE1" s="235"/>
      <c r="SSF1" s="235"/>
      <c r="SSG1" s="235"/>
      <c r="SSH1" s="235"/>
      <c r="SSI1" s="235"/>
      <c r="SSJ1" s="235"/>
      <c r="SSK1" s="235"/>
      <c r="SSL1" s="235"/>
      <c r="SSM1" s="235"/>
      <c r="SSN1" s="235"/>
      <c r="SSO1" s="235"/>
      <c r="SSP1" s="235"/>
      <c r="SSQ1" s="235"/>
      <c r="SSR1" s="235"/>
      <c r="SSS1" s="235"/>
      <c r="SST1" s="235"/>
      <c r="SSU1" s="235"/>
      <c r="SSV1" s="235"/>
      <c r="SSW1" s="235"/>
      <c r="SSX1" s="235"/>
      <c r="SSY1" s="235"/>
      <c r="SSZ1" s="235"/>
      <c r="STA1" s="235"/>
      <c r="STB1" s="235"/>
      <c r="STC1" s="235"/>
      <c r="STD1" s="235"/>
      <c r="STE1" s="235"/>
      <c r="STF1" s="235"/>
      <c r="STG1" s="235"/>
      <c r="STH1" s="235"/>
      <c r="STI1" s="235"/>
      <c r="STJ1" s="235"/>
      <c r="STK1" s="235"/>
      <c r="STL1" s="235"/>
      <c r="STM1" s="235"/>
      <c r="STN1" s="235"/>
      <c r="STO1" s="235"/>
      <c r="STP1" s="235"/>
      <c r="STQ1" s="235"/>
      <c r="STR1" s="235"/>
      <c r="STS1" s="235"/>
      <c r="STT1" s="235"/>
      <c r="STU1" s="235"/>
      <c r="STV1" s="235"/>
      <c r="STW1" s="235"/>
      <c r="STX1" s="235"/>
      <c r="STY1" s="235"/>
      <c r="STZ1" s="235"/>
      <c r="SUA1" s="235"/>
      <c r="SUB1" s="235"/>
      <c r="SUC1" s="235"/>
      <c r="SUD1" s="235"/>
      <c r="SUE1" s="235"/>
      <c r="SUF1" s="235"/>
      <c r="SUG1" s="235"/>
      <c r="SUH1" s="235"/>
      <c r="SUI1" s="235"/>
      <c r="SUJ1" s="235"/>
      <c r="SUK1" s="235"/>
      <c r="SUL1" s="235"/>
      <c r="SUM1" s="235"/>
      <c r="SUN1" s="235"/>
      <c r="SUO1" s="235"/>
      <c r="SUP1" s="235"/>
      <c r="SUQ1" s="235"/>
      <c r="SUR1" s="235"/>
      <c r="SUS1" s="235"/>
      <c r="SUT1" s="235"/>
      <c r="SUU1" s="235"/>
      <c r="SUV1" s="235"/>
      <c r="SUW1" s="235"/>
      <c r="SUX1" s="235"/>
      <c r="SUY1" s="235"/>
      <c r="SUZ1" s="235"/>
      <c r="SVA1" s="235"/>
      <c r="SVB1" s="235"/>
      <c r="SVC1" s="235"/>
      <c r="SVD1" s="235"/>
      <c r="SVE1" s="235"/>
      <c r="SVF1" s="235"/>
      <c r="SVG1" s="235"/>
      <c r="SVH1" s="235"/>
      <c r="SVI1" s="235"/>
      <c r="SVJ1" s="235"/>
      <c r="SVK1" s="235"/>
      <c r="SVL1" s="235"/>
      <c r="SVM1" s="235"/>
      <c r="SVN1" s="235"/>
      <c r="SVO1" s="235"/>
      <c r="SVP1" s="235"/>
      <c r="SVQ1" s="235"/>
      <c r="SVR1" s="235"/>
      <c r="SVS1" s="235"/>
      <c r="SVT1" s="235"/>
      <c r="SVU1" s="235"/>
      <c r="SVV1" s="235"/>
      <c r="SVW1" s="235"/>
      <c r="SVX1" s="235"/>
      <c r="SVY1" s="235"/>
      <c r="SVZ1" s="235"/>
      <c r="SWA1" s="235"/>
      <c r="SWB1" s="235"/>
      <c r="SWC1" s="235"/>
      <c r="SWD1" s="235"/>
      <c r="SWE1" s="235"/>
      <c r="SWF1" s="235"/>
      <c r="SWG1" s="235"/>
      <c r="SWH1" s="235"/>
      <c r="SWI1" s="235"/>
      <c r="SWJ1" s="235"/>
      <c r="SWK1" s="235"/>
      <c r="SWL1" s="235"/>
      <c r="SWM1" s="235"/>
      <c r="SWN1" s="235"/>
      <c r="SWO1" s="235"/>
      <c r="SWP1" s="235"/>
      <c r="SWQ1" s="235"/>
      <c r="SWR1" s="235"/>
      <c r="SWS1" s="235"/>
      <c r="SWT1" s="235"/>
      <c r="SWU1" s="235"/>
      <c r="SWV1" s="235"/>
      <c r="SWW1" s="235"/>
      <c r="SWX1" s="235"/>
      <c r="SWY1" s="235"/>
      <c r="SWZ1" s="235"/>
      <c r="SXA1" s="235"/>
      <c r="SXB1" s="235"/>
      <c r="SXC1" s="235"/>
      <c r="SXD1" s="235"/>
      <c r="SXE1" s="235"/>
      <c r="SXF1" s="235"/>
      <c r="SXG1" s="235"/>
      <c r="SXH1" s="235"/>
      <c r="SXI1" s="235"/>
      <c r="SXJ1" s="235"/>
      <c r="SXK1" s="235"/>
      <c r="SXL1" s="235"/>
      <c r="SXM1" s="235"/>
      <c r="SXN1" s="235"/>
      <c r="SXO1" s="235"/>
      <c r="SXP1" s="235"/>
      <c r="SXQ1" s="235"/>
      <c r="SXR1" s="235"/>
      <c r="SXS1" s="235"/>
      <c r="SXT1" s="235"/>
      <c r="SXU1" s="235"/>
      <c r="SXV1" s="235"/>
      <c r="SXW1" s="235"/>
      <c r="SXX1" s="235"/>
      <c r="SXY1" s="235"/>
      <c r="SXZ1" s="235"/>
      <c r="SYA1" s="235"/>
      <c r="SYB1" s="235"/>
      <c r="SYC1" s="235"/>
      <c r="SYD1" s="235"/>
      <c r="SYE1" s="235"/>
      <c r="SYF1" s="235"/>
      <c r="SYG1" s="235"/>
      <c r="SYH1" s="235"/>
      <c r="SYI1" s="235"/>
      <c r="SYJ1" s="235"/>
      <c r="SYK1" s="235"/>
      <c r="SYL1" s="235"/>
      <c r="SYM1" s="235"/>
      <c r="SYN1" s="235"/>
      <c r="SYO1" s="235"/>
      <c r="SYP1" s="235"/>
      <c r="SYQ1" s="235"/>
      <c r="SYR1" s="235"/>
      <c r="SYS1" s="235"/>
      <c r="SYT1" s="235"/>
      <c r="SYU1" s="235"/>
      <c r="SYV1" s="235"/>
      <c r="SYW1" s="235"/>
      <c r="SYX1" s="235"/>
      <c r="SYY1" s="235"/>
      <c r="SYZ1" s="235"/>
      <c r="SZA1" s="235"/>
      <c r="SZB1" s="235"/>
      <c r="SZC1" s="235"/>
      <c r="SZD1" s="235"/>
      <c r="SZE1" s="235"/>
      <c r="SZF1" s="235"/>
      <c r="SZG1" s="235"/>
      <c r="SZH1" s="235"/>
      <c r="SZI1" s="235"/>
      <c r="SZJ1" s="235"/>
      <c r="SZK1" s="235"/>
      <c r="SZL1" s="235"/>
      <c r="SZM1" s="235"/>
      <c r="SZN1" s="235"/>
      <c r="SZO1" s="235"/>
      <c r="SZP1" s="235"/>
      <c r="SZQ1" s="235"/>
      <c r="SZR1" s="235"/>
      <c r="SZS1" s="235"/>
      <c r="SZT1" s="235"/>
      <c r="SZU1" s="235"/>
      <c r="SZV1" s="235"/>
      <c r="SZW1" s="235"/>
      <c r="SZX1" s="235"/>
      <c r="SZY1" s="235"/>
      <c r="SZZ1" s="235"/>
      <c r="TAA1" s="235"/>
      <c r="TAB1" s="235"/>
      <c r="TAC1" s="235"/>
      <c r="TAD1" s="235"/>
      <c r="TAE1" s="235"/>
      <c r="TAF1" s="235"/>
      <c r="TAG1" s="235"/>
      <c r="TAH1" s="235"/>
      <c r="TAI1" s="235"/>
      <c r="TAJ1" s="235"/>
      <c r="TAK1" s="235"/>
      <c r="TAL1" s="235"/>
      <c r="TAM1" s="235"/>
      <c r="TAN1" s="235"/>
      <c r="TAO1" s="235"/>
      <c r="TAP1" s="235"/>
      <c r="TAQ1" s="235"/>
      <c r="TAR1" s="235"/>
      <c r="TAS1" s="235"/>
      <c r="TAT1" s="235"/>
      <c r="TAU1" s="235"/>
      <c r="TAV1" s="235"/>
      <c r="TAW1" s="235"/>
      <c r="TAX1" s="235"/>
      <c r="TAY1" s="235"/>
      <c r="TAZ1" s="235"/>
      <c r="TBA1" s="235"/>
      <c r="TBB1" s="235"/>
      <c r="TBC1" s="235"/>
      <c r="TBD1" s="235"/>
      <c r="TBE1" s="235"/>
      <c r="TBF1" s="235"/>
      <c r="TBG1" s="235"/>
      <c r="TBH1" s="235"/>
      <c r="TBI1" s="235"/>
      <c r="TBJ1" s="235"/>
      <c r="TBK1" s="235"/>
      <c r="TBL1" s="235"/>
      <c r="TBM1" s="235"/>
      <c r="TBN1" s="235"/>
      <c r="TBO1" s="235"/>
      <c r="TBP1" s="235"/>
      <c r="TBQ1" s="235"/>
      <c r="TBR1" s="235"/>
      <c r="TBS1" s="235"/>
      <c r="TBT1" s="235"/>
      <c r="TBU1" s="235"/>
      <c r="TBV1" s="235"/>
      <c r="TBW1" s="235"/>
      <c r="TBX1" s="235"/>
      <c r="TBY1" s="235"/>
      <c r="TBZ1" s="235"/>
      <c r="TCA1" s="235"/>
      <c r="TCB1" s="235"/>
      <c r="TCC1" s="235"/>
      <c r="TCD1" s="235"/>
      <c r="TCE1" s="235"/>
      <c r="TCF1" s="235"/>
      <c r="TCG1" s="235"/>
      <c r="TCH1" s="235"/>
      <c r="TCI1" s="235"/>
      <c r="TCJ1" s="235"/>
      <c r="TCK1" s="235"/>
      <c r="TCL1" s="235"/>
      <c r="TCM1" s="235"/>
      <c r="TCN1" s="235"/>
      <c r="TCO1" s="235"/>
      <c r="TCP1" s="235"/>
      <c r="TCQ1" s="235"/>
      <c r="TCR1" s="235"/>
      <c r="TCS1" s="235"/>
      <c r="TCT1" s="235"/>
      <c r="TCU1" s="235"/>
      <c r="TCV1" s="235"/>
      <c r="TCW1" s="235"/>
      <c r="TCX1" s="235"/>
      <c r="TCY1" s="235"/>
      <c r="TCZ1" s="235"/>
      <c r="TDA1" s="235"/>
      <c r="TDB1" s="235"/>
      <c r="TDC1" s="235"/>
      <c r="TDD1" s="235"/>
      <c r="TDE1" s="235"/>
      <c r="TDF1" s="235"/>
      <c r="TDG1" s="235"/>
      <c r="TDH1" s="235"/>
      <c r="TDI1" s="235"/>
      <c r="TDJ1" s="235"/>
      <c r="TDK1" s="235"/>
      <c r="TDL1" s="235"/>
      <c r="TDM1" s="235"/>
      <c r="TDN1" s="235"/>
      <c r="TDO1" s="235"/>
      <c r="TDP1" s="235"/>
      <c r="TDQ1" s="235"/>
      <c r="TDR1" s="235"/>
      <c r="TDS1" s="235"/>
      <c r="TDT1" s="235"/>
      <c r="TDU1" s="235"/>
      <c r="TDV1" s="235"/>
      <c r="TDW1" s="235"/>
      <c r="TDX1" s="235"/>
      <c r="TDY1" s="235"/>
      <c r="TDZ1" s="235"/>
      <c r="TEA1" s="235"/>
      <c r="TEB1" s="235"/>
      <c r="TEC1" s="235"/>
      <c r="TED1" s="235"/>
      <c r="TEE1" s="235"/>
      <c r="TEF1" s="235"/>
      <c r="TEG1" s="235"/>
      <c r="TEH1" s="235"/>
      <c r="TEI1" s="235"/>
      <c r="TEJ1" s="235"/>
      <c r="TEK1" s="235"/>
      <c r="TEL1" s="235"/>
      <c r="TEM1" s="235"/>
      <c r="TEN1" s="235"/>
      <c r="TEO1" s="235"/>
      <c r="TEP1" s="235"/>
      <c r="TEQ1" s="235"/>
      <c r="TER1" s="235"/>
      <c r="TES1" s="235"/>
      <c r="TET1" s="235"/>
      <c r="TEU1" s="235"/>
      <c r="TEV1" s="235"/>
      <c r="TEW1" s="235"/>
      <c r="TEX1" s="235"/>
      <c r="TEY1" s="235"/>
      <c r="TEZ1" s="235"/>
      <c r="TFA1" s="235"/>
      <c r="TFB1" s="235"/>
      <c r="TFC1" s="235"/>
      <c r="TFD1" s="235"/>
      <c r="TFE1" s="235"/>
      <c r="TFF1" s="235"/>
      <c r="TFG1" s="235"/>
      <c r="TFH1" s="235"/>
      <c r="TFI1" s="235"/>
      <c r="TFJ1" s="235"/>
      <c r="TFK1" s="235"/>
      <c r="TFL1" s="235"/>
      <c r="TFM1" s="235"/>
      <c r="TFN1" s="235"/>
      <c r="TFO1" s="235"/>
      <c r="TFP1" s="235"/>
      <c r="TFQ1" s="235"/>
      <c r="TFR1" s="235"/>
      <c r="TFS1" s="235"/>
      <c r="TFT1" s="235"/>
      <c r="TFU1" s="235"/>
      <c r="TFV1" s="235"/>
      <c r="TFW1" s="235"/>
      <c r="TFX1" s="235"/>
      <c r="TFY1" s="235"/>
      <c r="TFZ1" s="235"/>
      <c r="TGA1" s="235"/>
      <c r="TGB1" s="235"/>
      <c r="TGC1" s="235"/>
      <c r="TGD1" s="235"/>
      <c r="TGE1" s="235"/>
      <c r="TGF1" s="235"/>
      <c r="TGG1" s="235"/>
      <c r="TGH1" s="235"/>
      <c r="TGI1" s="235"/>
      <c r="TGJ1" s="235"/>
      <c r="TGK1" s="235"/>
      <c r="TGL1" s="235"/>
      <c r="TGM1" s="235"/>
      <c r="TGN1" s="235"/>
      <c r="TGO1" s="235"/>
      <c r="TGP1" s="235"/>
      <c r="TGQ1" s="235"/>
      <c r="TGR1" s="235"/>
      <c r="TGS1" s="235"/>
      <c r="TGT1" s="235"/>
      <c r="TGU1" s="235"/>
      <c r="TGV1" s="235"/>
      <c r="TGW1" s="235"/>
      <c r="TGX1" s="235"/>
      <c r="TGY1" s="235"/>
      <c r="TGZ1" s="235"/>
      <c r="THA1" s="235"/>
      <c r="THB1" s="235"/>
      <c r="THC1" s="235"/>
      <c r="THD1" s="235"/>
      <c r="THE1" s="235"/>
      <c r="THF1" s="235"/>
      <c r="THG1" s="235"/>
      <c r="THH1" s="235"/>
      <c r="THI1" s="235"/>
      <c r="THJ1" s="235"/>
      <c r="THK1" s="235"/>
      <c r="THL1" s="235"/>
      <c r="THM1" s="235"/>
      <c r="THN1" s="235"/>
      <c r="THO1" s="235"/>
      <c r="THP1" s="235"/>
      <c r="THQ1" s="235"/>
      <c r="THR1" s="235"/>
      <c r="THS1" s="235"/>
      <c r="THT1" s="235"/>
      <c r="THU1" s="235"/>
      <c r="THV1" s="235"/>
      <c r="THW1" s="235"/>
      <c r="THX1" s="235"/>
      <c r="THY1" s="235"/>
      <c r="THZ1" s="235"/>
      <c r="TIA1" s="235"/>
      <c r="TIB1" s="235"/>
      <c r="TIC1" s="235"/>
      <c r="TID1" s="235"/>
      <c r="TIE1" s="235"/>
      <c r="TIF1" s="235"/>
      <c r="TIG1" s="235"/>
      <c r="TIH1" s="235"/>
      <c r="TII1" s="235"/>
      <c r="TIJ1" s="235"/>
      <c r="TIK1" s="235"/>
      <c r="TIL1" s="235"/>
      <c r="TIM1" s="235"/>
      <c r="TIN1" s="235"/>
      <c r="TIO1" s="235"/>
      <c r="TIP1" s="235"/>
      <c r="TIQ1" s="235"/>
      <c r="TIR1" s="235"/>
      <c r="TIS1" s="235"/>
      <c r="TIT1" s="235"/>
      <c r="TIU1" s="235"/>
      <c r="TIV1" s="235"/>
      <c r="TIW1" s="235"/>
      <c r="TIX1" s="235"/>
      <c r="TIY1" s="235"/>
      <c r="TIZ1" s="235"/>
      <c r="TJA1" s="235"/>
      <c r="TJB1" s="235"/>
      <c r="TJC1" s="235"/>
      <c r="TJD1" s="235"/>
      <c r="TJE1" s="235"/>
      <c r="TJF1" s="235"/>
      <c r="TJG1" s="235"/>
      <c r="TJH1" s="235"/>
      <c r="TJI1" s="235"/>
      <c r="TJJ1" s="235"/>
      <c r="TJK1" s="235"/>
      <c r="TJL1" s="235"/>
      <c r="TJM1" s="235"/>
      <c r="TJN1" s="235"/>
      <c r="TJO1" s="235"/>
      <c r="TJP1" s="235"/>
      <c r="TJQ1" s="235"/>
      <c r="TJR1" s="235"/>
      <c r="TJS1" s="235"/>
      <c r="TJT1" s="235"/>
      <c r="TJU1" s="235"/>
      <c r="TJV1" s="235"/>
      <c r="TJW1" s="235"/>
      <c r="TJX1" s="235"/>
      <c r="TJY1" s="235"/>
      <c r="TJZ1" s="235"/>
      <c r="TKA1" s="235"/>
      <c r="TKB1" s="235"/>
      <c r="TKC1" s="235"/>
      <c r="TKD1" s="235"/>
      <c r="TKE1" s="235"/>
      <c r="TKF1" s="235"/>
      <c r="TKG1" s="235"/>
      <c r="TKH1" s="235"/>
      <c r="TKI1" s="235"/>
      <c r="TKJ1" s="235"/>
      <c r="TKK1" s="235"/>
      <c r="TKL1" s="235"/>
      <c r="TKM1" s="235"/>
      <c r="TKN1" s="235"/>
      <c r="TKO1" s="235"/>
      <c r="TKP1" s="235"/>
      <c r="TKQ1" s="235"/>
      <c r="TKR1" s="235"/>
      <c r="TKS1" s="235"/>
      <c r="TKT1" s="235"/>
      <c r="TKU1" s="235"/>
      <c r="TKV1" s="235"/>
      <c r="TKW1" s="235"/>
      <c r="TKX1" s="235"/>
      <c r="TKY1" s="235"/>
      <c r="TKZ1" s="235"/>
      <c r="TLA1" s="235"/>
      <c r="TLB1" s="235"/>
      <c r="TLC1" s="235"/>
      <c r="TLD1" s="235"/>
      <c r="TLE1" s="235"/>
      <c r="TLF1" s="235"/>
      <c r="TLG1" s="235"/>
      <c r="TLH1" s="235"/>
      <c r="TLI1" s="235"/>
      <c r="TLJ1" s="235"/>
      <c r="TLK1" s="235"/>
      <c r="TLL1" s="235"/>
      <c r="TLM1" s="235"/>
      <c r="TLN1" s="235"/>
      <c r="TLO1" s="235"/>
      <c r="TLP1" s="235"/>
      <c r="TLQ1" s="235"/>
      <c r="TLR1" s="235"/>
      <c r="TLS1" s="235"/>
      <c r="TLT1" s="235"/>
      <c r="TLU1" s="235"/>
      <c r="TLV1" s="235"/>
      <c r="TLW1" s="235"/>
      <c r="TLX1" s="235"/>
      <c r="TLY1" s="235"/>
      <c r="TLZ1" s="235"/>
      <c r="TMA1" s="235"/>
      <c r="TMB1" s="235"/>
      <c r="TMC1" s="235"/>
      <c r="TMD1" s="235"/>
      <c r="TME1" s="235"/>
      <c r="TMF1" s="235"/>
      <c r="TMG1" s="235"/>
      <c r="TMH1" s="235"/>
      <c r="TMI1" s="235"/>
      <c r="TMJ1" s="235"/>
      <c r="TMK1" s="235"/>
      <c r="TML1" s="235"/>
      <c r="TMM1" s="235"/>
      <c r="TMN1" s="235"/>
      <c r="TMO1" s="235"/>
      <c r="TMP1" s="235"/>
      <c r="TMQ1" s="235"/>
      <c r="TMR1" s="235"/>
      <c r="TMS1" s="235"/>
      <c r="TMT1" s="235"/>
      <c r="TMU1" s="235"/>
      <c r="TMV1" s="235"/>
      <c r="TMW1" s="235"/>
      <c r="TMX1" s="235"/>
      <c r="TMY1" s="235"/>
      <c r="TMZ1" s="235"/>
      <c r="TNA1" s="235"/>
      <c r="TNB1" s="235"/>
      <c r="TNC1" s="235"/>
      <c r="TND1" s="235"/>
      <c r="TNE1" s="235"/>
      <c r="TNF1" s="235"/>
      <c r="TNG1" s="235"/>
      <c r="TNH1" s="235"/>
      <c r="TNI1" s="235"/>
      <c r="TNJ1" s="235"/>
      <c r="TNK1" s="235"/>
      <c r="TNL1" s="235"/>
      <c r="TNM1" s="235"/>
      <c r="TNN1" s="235"/>
      <c r="TNO1" s="235"/>
      <c r="TNP1" s="235"/>
      <c r="TNQ1" s="235"/>
      <c r="TNR1" s="235"/>
      <c r="TNS1" s="235"/>
      <c r="TNT1" s="235"/>
      <c r="TNU1" s="235"/>
      <c r="TNV1" s="235"/>
      <c r="TNW1" s="235"/>
      <c r="TNX1" s="235"/>
      <c r="TNY1" s="235"/>
      <c r="TNZ1" s="235"/>
      <c r="TOA1" s="235"/>
      <c r="TOB1" s="235"/>
      <c r="TOC1" s="235"/>
      <c r="TOD1" s="235"/>
      <c r="TOE1" s="235"/>
      <c r="TOF1" s="235"/>
      <c r="TOG1" s="235"/>
      <c r="TOH1" s="235"/>
      <c r="TOI1" s="235"/>
      <c r="TOJ1" s="235"/>
      <c r="TOK1" s="235"/>
      <c r="TOL1" s="235"/>
      <c r="TOM1" s="235"/>
      <c r="TON1" s="235"/>
      <c r="TOO1" s="235"/>
      <c r="TOP1" s="235"/>
      <c r="TOQ1" s="235"/>
      <c r="TOR1" s="235"/>
      <c r="TOS1" s="235"/>
      <c r="TOT1" s="235"/>
      <c r="TOU1" s="235"/>
      <c r="TOV1" s="235"/>
      <c r="TOW1" s="235"/>
      <c r="TOX1" s="235"/>
      <c r="TOY1" s="235"/>
      <c r="TOZ1" s="235"/>
      <c r="TPA1" s="235"/>
      <c r="TPB1" s="235"/>
      <c r="TPC1" s="235"/>
      <c r="TPD1" s="235"/>
      <c r="TPE1" s="235"/>
      <c r="TPF1" s="235"/>
      <c r="TPG1" s="235"/>
      <c r="TPH1" s="235"/>
      <c r="TPI1" s="235"/>
      <c r="TPJ1" s="235"/>
      <c r="TPK1" s="235"/>
      <c r="TPL1" s="235"/>
      <c r="TPM1" s="235"/>
      <c r="TPN1" s="235"/>
      <c r="TPO1" s="235"/>
      <c r="TPP1" s="235"/>
      <c r="TPQ1" s="235"/>
      <c r="TPR1" s="235"/>
      <c r="TPS1" s="235"/>
      <c r="TPT1" s="235"/>
      <c r="TPU1" s="235"/>
      <c r="TPV1" s="235"/>
      <c r="TPW1" s="235"/>
      <c r="TPX1" s="235"/>
      <c r="TPY1" s="235"/>
      <c r="TPZ1" s="235"/>
      <c r="TQA1" s="235"/>
      <c r="TQB1" s="235"/>
      <c r="TQC1" s="235"/>
      <c r="TQD1" s="235"/>
      <c r="TQE1" s="235"/>
      <c r="TQF1" s="235"/>
      <c r="TQG1" s="235"/>
      <c r="TQH1" s="235"/>
      <c r="TQI1" s="235"/>
      <c r="TQJ1" s="235"/>
      <c r="TQK1" s="235"/>
      <c r="TQL1" s="235"/>
      <c r="TQM1" s="235"/>
      <c r="TQN1" s="235"/>
      <c r="TQO1" s="235"/>
      <c r="TQP1" s="235"/>
      <c r="TQQ1" s="235"/>
      <c r="TQR1" s="235"/>
      <c r="TQS1" s="235"/>
      <c r="TQT1" s="235"/>
      <c r="TQU1" s="235"/>
      <c r="TQV1" s="235"/>
      <c r="TQW1" s="235"/>
      <c r="TQX1" s="235"/>
      <c r="TQY1" s="235"/>
      <c r="TQZ1" s="235"/>
      <c r="TRA1" s="235"/>
      <c r="TRB1" s="235"/>
      <c r="TRC1" s="235"/>
      <c r="TRD1" s="235"/>
      <c r="TRE1" s="235"/>
      <c r="TRF1" s="235"/>
      <c r="TRG1" s="235"/>
      <c r="TRH1" s="235"/>
      <c r="TRI1" s="235"/>
      <c r="TRJ1" s="235"/>
      <c r="TRK1" s="235"/>
      <c r="TRL1" s="235"/>
      <c r="TRM1" s="235"/>
      <c r="TRN1" s="235"/>
      <c r="TRO1" s="235"/>
      <c r="TRP1" s="235"/>
      <c r="TRQ1" s="235"/>
      <c r="TRR1" s="235"/>
      <c r="TRS1" s="235"/>
      <c r="TRT1" s="235"/>
      <c r="TRU1" s="235"/>
      <c r="TRV1" s="235"/>
      <c r="TRW1" s="235"/>
      <c r="TRX1" s="235"/>
      <c r="TRY1" s="235"/>
      <c r="TRZ1" s="235"/>
      <c r="TSA1" s="235"/>
      <c r="TSB1" s="235"/>
      <c r="TSC1" s="235"/>
      <c r="TSD1" s="235"/>
      <c r="TSE1" s="235"/>
      <c r="TSF1" s="235"/>
      <c r="TSG1" s="235"/>
      <c r="TSH1" s="235"/>
      <c r="TSI1" s="235"/>
      <c r="TSJ1" s="235"/>
      <c r="TSK1" s="235"/>
      <c r="TSL1" s="235"/>
      <c r="TSM1" s="235"/>
      <c r="TSN1" s="235"/>
      <c r="TSO1" s="235"/>
      <c r="TSP1" s="235"/>
      <c r="TSQ1" s="235"/>
      <c r="TSR1" s="235"/>
      <c r="TSS1" s="235"/>
      <c r="TST1" s="235"/>
      <c r="TSU1" s="235"/>
      <c r="TSV1" s="235"/>
      <c r="TSW1" s="235"/>
      <c r="TSX1" s="235"/>
      <c r="TSY1" s="235"/>
      <c r="TSZ1" s="235"/>
      <c r="TTA1" s="235"/>
      <c r="TTB1" s="235"/>
      <c r="TTC1" s="235"/>
      <c r="TTD1" s="235"/>
      <c r="TTE1" s="235"/>
      <c r="TTF1" s="235"/>
      <c r="TTG1" s="235"/>
      <c r="TTH1" s="235"/>
      <c r="TTI1" s="235"/>
      <c r="TTJ1" s="235"/>
      <c r="TTK1" s="235"/>
      <c r="TTL1" s="235"/>
      <c r="TTM1" s="235"/>
      <c r="TTN1" s="235"/>
      <c r="TTO1" s="235"/>
      <c r="TTP1" s="235"/>
      <c r="TTQ1" s="235"/>
      <c r="TTR1" s="235"/>
      <c r="TTS1" s="235"/>
      <c r="TTT1" s="235"/>
      <c r="TTU1" s="235"/>
      <c r="TTV1" s="235"/>
      <c r="TTW1" s="235"/>
      <c r="TTX1" s="235"/>
      <c r="TTY1" s="235"/>
      <c r="TTZ1" s="235"/>
      <c r="TUA1" s="235"/>
      <c r="TUB1" s="235"/>
      <c r="TUC1" s="235"/>
      <c r="TUD1" s="235"/>
      <c r="TUE1" s="235"/>
      <c r="TUF1" s="235"/>
      <c r="TUG1" s="235"/>
      <c r="TUH1" s="235"/>
      <c r="TUI1" s="235"/>
      <c r="TUJ1" s="235"/>
      <c r="TUK1" s="235"/>
      <c r="TUL1" s="235"/>
      <c r="TUM1" s="235"/>
      <c r="TUN1" s="235"/>
      <c r="TUO1" s="235"/>
      <c r="TUP1" s="235"/>
      <c r="TUQ1" s="235"/>
      <c r="TUR1" s="235"/>
      <c r="TUS1" s="235"/>
      <c r="TUT1" s="235"/>
      <c r="TUU1" s="235"/>
      <c r="TUV1" s="235"/>
      <c r="TUW1" s="235"/>
      <c r="TUX1" s="235"/>
      <c r="TUY1" s="235"/>
      <c r="TUZ1" s="235"/>
      <c r="TVA1" s="235"/>
      <c r="TVB1" s="235"/>
      <c r="TVC1" s="235"/>
      <c r="TVD1" s="235"/>
      <c r="TVE1" s="235"/>
      <c r="TVF1" s="235"/>
      <c r="TVG1" s="235"/>
      <c r="TVH1" s="235"/>
      <c r="TVI1" s="235"/>
      <c r="TVJ1" s="235"/>
      <c r="TVK1" s="235"/>
      <c r="TVL1" s="235"/>
      <c r="TVM1" s="235"/>
      <c r="TVN1" s="235"/>
      <c r="TVO1" s="235"/>
      <c r="TVP1" s="235"/>
      <c r="TVQ1" s="235"/>
      <c r="TVR1" s="235"/>
      <c r="TVS1" s="235"/>
      <c r="TVT1" s="235"/>
      <c r="TVU1" s="235"/>
      <c r="TVV1" s="235"/>
      <c r="TVW1" s="235"/>
      <c r="TVX1" s="235"/>
      <c r="TVY1" s="235"/>
      <c r="TVZ1" s="235"/>
      <c r="TWA1" s="235"/>
      <c r="TWB1" s="235"/>
      <c r="TWC1" s="235"/>
      <c r="TWD1" s="235"/>
      <c r="TWE1" s="235"/>
      <c r="TWF1" s="235"/>
      <c r="TWG1" s="235"/>
      <c r="TWH1" s="235"/>
      <c r="TWI1" s="235"/>
      <c r="TWJ1" s="235"/>
      <c r="TWK1" s="235"/>
      <c r="TWL1" s="235"/>
      <c r="TWM1" s="235"/>
      <c r="TWN1" s="235"/>
      <c r="TWO1" s="235"/>
      <c r="TWP1" s="235"/>
      <c r="TWQ1" s="235"/>
      <c r="TWR1" s="235"/>
      <c r="TWS1" s="235"/>
      <c r="TWT1" s="235"/>
      <c r="TWU1" s="235"/>
      <c r="TWV1" s="235"/>
      <c r="TWW1" s="235"/>
      <c r="TWX1" s="235"/>
      <c r="TWY1" s="235"/>
      <c r="TWZ1" s="235"/>
      <c r="TXA1" s="235"/>
      <c r="TXB1" s="235"/>
      <c r="TXC1" s="235"/>
      <c r="TXD1" s="235"/>
      <c r="TXE1" s="235"/>
      <c r="TXF1" s="235"/>
      <c r="TXG1" s="235"/>
      <c r="TXH1" s="235"/>
      <c r="TXI1" s="235"/>
      <c r="TXJ1" s="235"/>
      <c r="TXK1" s="235"/>
      <c r="TXL1" s="235"/>
      <c r="TXM1" s="235"/>
      <c r="TXN1" s="235"/>
      <c r="TXO1" s="235"/>
      <c r="TXP1" s="235"/>
      <c r="TXQ1" s="235"/>
      <c r="TXR1" s="235"/>
      <c r="TXS1" s="235"/>
      <c r="TXT1" s="235"/>
      <c r="TXU1" s="235"/>
      <c r="TXV1" s="235"/>
      <c r="TXW1" s="235"/>
      <c r="TXX1" s="235"/>
      <c r="TXY1" s="235"/>
      <c r="TXZ1" s="235"/>
      <c r="TYA1" s="235"/>
      <c r="TYB1" s="235"/>
      <c r="TYC1" s="235"/>
      <c r="TYD1" s="235"/>
      <c r="TYE1" s="235"/>
      <c r="TYF1" s="235"/>
      <c r="TYG1" s="235"/>
      <c r="TYH1" s="235"/>
      <c r="TYI1" s="235"/>
      <c r="TYJ1" s="235"/>
      <c r="TYK1" s="235"/>
      <c r="TYL1" s="235"/>
      <c r="TYM1" s="235"/>
      <c r="TYN1" s="235"/>
      <c r="TYO1" s="235"/>
      <c r="TYP1" s="235"/>
      <c r="TYQ1" s="235"/>
      <c r="TYR1" s="235"/>
      <c r="TYS1" s="235"/>
      <c r="TYT1" s="235"/>
      <c r="TYU1" s="235"/>
      <c r="TYV1" s="235"/>
      <c r="TYW1" s="235"/>
      <c r="TYX1" s="235"/>
      <c r="TYY1" s="235"/>
      <c r="TYZ1" s="235"/>
      <c r="TZA1" s="235"/>
      <c r="TZB1" s="235"/>
      <c r="TZC1" s="235"/>
      <c r="TZD1" s="235"/>
      <c r="TZE1" s="235"/>
      <c r="TZF1" s="235"/>
      <c r="TZG1" s="235"/>
      <c r="TZH1" s="235"/>
      <c r="TZI1" s="235"/>
      <c r="TZJ1" s="235"/>
      <c r="TZK1" s="235"/>
      <c r="TZL1" s="235"/>
      <c r="TZM1" s="235"/>
      <c r="TZN1" s="235"/>
      <c r="TZO1" s="235"/>
      <c r="TZP1" s="235"/>
      <c r="TZQ1" s="235"/>
      <c r="TZR1" s="235"/>
      <c r="TZS1" s="235"/>
      <c r="TZT1" s="235"/>
      <c r="TZU1" s="235"/>
      <c r="TZV1" s="235"/>
      <c r="TZW1" s="235"/>
      <c r="TZX1" s="235"/>
      <c r="TZY1" s="235"/>
      <c r="TZZ1" s="235"/>
      <c r="UAA1" s="235"/>
      <c r="UAB1" s="235"/>
      <c r="UAC1" s="235"/>
      <c r="UAD1" s="235"/>
      <c r="UAE1" s="235"/>
      <c r="UAF1" s="235"/>
      <c r="UAG1" s="235"/>
      <c r="UAH1" s="235"/>
      <c r="UAI1" s="235"/>
      <c r="UAJ1" s="235"/>
      <c r="UAK1" s="235"/>
      <c r="UAL1" s="235"/>
      <c r="UAM1" s="235"/>
      <c r="UAN1" s="235"/>
      <c r="UAO1" s="235"/>
      <c r="UAP1" s="235"/>
      <c r="UAQ1" s="235"/>
      <c r="UAR1" s="235"/>
      <c r="UAS1" s="235"/>
      <c r="UAT1" s="235"/>
      <c r="UAU1" s="235"/>
      <c r="UAV1" s="235"/>
      <c r="UAW1" s="235"/>
      <c r="UAX1" s="235"/>
      <c r="UAY1" s="235"/>
      <c r="UAZ1" s="235"/>
      <c r="UBA1" s="235"/>
      <c r="UBB1" s="235"/>
      <c r="UBC1" s="235"/>
      <c r="UBD1" s="235"/>
      <c r="UBE1" s="235"/>
      <c r="UBF1" s="235"/>
      <c r="UBG1" s="235"/>
      <c r="UBH1" s="235"/>
      <c r="UBI1" s="235"/>
      <c r="UBJ1" s="235"/>
      <c r="UBK1" s="235"/>
      <c r="UBL1" s="235"/>
      <c r="UBM1" s="235"/>
      <c r="UBN1" s="235"/>
      <c r="UBO1" s="235"/>
      <c r="UBP1" s="235"/>
      <c r="UBQ1" s="235"/>
      <c r="UBR1" s="235"/>
      <c r="UBS1" s="235"/>
      <c r="UBT1" s="235"/>
      <c r="UBU1" s="235"/>
      <c r="UBV1" s="235"/>
      <c r="UBW1" s="235"/>
      <c r="UBX1" s="235"/>
      <c r="UBY1" s="235"/>
      <c r="UBZ1" s="235"/>
      <c r="UCA1" s="235"/>
      <c r="UCB1" s="235"/>
      <c r="UCC1" s="235"/>
      <c r="UCD1" s="235"/>
      <c r="UCE1" s="235"/>
      <c r="UCF1" s="235"/>
      <c r="UCG1" s="235"/>
      <c r="UCH1" s="235"/>
      <c r="UCI1" s="235"/>
      <c r="UCJ1" s="235"/>
      <c r="UCK1" s="235"/>
      <c r="UCL1" s="235"/>
      <c r="UCM1" s="235"/>
      <c r="UCN1" s="235"/>
      <c r="UCO1" s="235"/>
      <c r="UCP1" s="235"/>
      <c r="UCQ1" s="235"/>
      <c r="UCR1" s="235"/>
      <c r="UCS1" s="235"/>
      <c r="UCT1" s="235"/>
      <c r="UCU1" s="235"/>
      <c r="UCV1" s="235"/>
      <c r="UCW1" s="235"/>
      <c r="UCX1" s="235"/>
      <c r="UCY1" s="235"/>
      <c r="UCZ1" s="235"/>
      <c r="UDA1" s="235"/>
      <c r="UDB1" s="235"/>
      <c r="UDC1" s="235"/>
      <c r="UDD1" s="235"/>
      <c r="UDE1" s="235"/>
      <c r="UDF1" s="235"/>
      <c r="UDG1" s="235"/>
      <c r="UDH1" s="235"/>
      <c r="UDI1" s="235"/>
      <c r="UDJ1" s="235"/>
      <c r="UDK1" s="235"/>
      <c r="UDL1" s="235"/>
      <c r="UDM1" s="235"/>
      <c r="UDN1" s="235"/>
      <c r="UDO1" s="235"/>
      <c r="UDP1" s="235"/>
      <c r="UDQ1" s="235"/>
      <c r="UDR1" s="235"/>
      <c r="UDS1" s="235"/>
      <c r="UDT1" s="235"/>
      <c r="UDU1" s="235"/>
      <c r="UDV1" s="235"/>
      <c r="UDW1" s="235"/>
      <c r="UDX1" s="235"/>
      <c r="UDY1" s="235"/>
      <c r="UDZ1" s="235"/>
      <c r="UEA1" s="235"/>
      <c r="UEB1" s="235"/>
      <c r="UEC1" s="235"/>
      <c r="UED1" s="235"/>
      <c r="UEE1" s="235"/>
      <c r="UEF1" s="235"/>
      <c r="UEG1" s="235"/>
      <c r="UEH1" s="235"/>
      <c r="UEI1" s="235"/>
      <c r="UEJ1" s="235"/>
      <c r="UEK1" s="235"/>
      <c r="UEL1" s="235"/>
      <c r="UEM1" s="235"/>
      <c r="UEN1" s="235"/>
      <c r="UEO1" s="235"/>
      <c r="UEP1" s="235"/>
      <c r="UEQ1" s="235"/>
      <c r="UER1" s="235"/>
      <c r="UES1" s="235"/>
      <c r="UET1" s="235"/>
      <c r="UEU1" s="235"/>
      <c r="UEV1" s="235"/>
      <c r="UEW1" s="235"/>
      <c r="UEX1" s="235"/>
      <c r="UEY1" s="235"/>
      <c r="UEZ1" s="235"/>
      <c r="UFA1" s="235"/>
      <c r="UFB1" s="235"/>
      <c r="UFC1" s="235"/>
      <c r="UFD1" s="235"/>
      <c r="UFE1" s="235"/>
      <c r="UFF1" s="235"/>
      <c r="UFG1" s="235"/>
      <c r="UFH1" s="235"/>
      <c r="UFI1" s="235"/>
      <c r="UFJ1" s="235"/>
      <c r="UFK1" s="235"/>
      <c r="UFL1" s="235"/>
      <c r="UFM1" s="235"/>
      <c r="UFN1" s="235"/>
      <c r="UFO1" s="235"/>
      <c r="UFP1" s="235"/>
      <c r="UFQ1" s="235"/>
      <c r="UFR1" s="235"/>
      <c r="UFS1" s="235"/>
      <c r="UFT1" s="235"/>
      <c r="UFU1" s="235"/>
      <c r="UFV1" s="235"/>
      <c r="UFW1" s="235"/>
      <c r="UFX1" s="235"/>
      <c r="UFY1" s="235"/>
      <c r="UFZ1" s="235"/>
      <c r="UGA1" s="235"/>
      <c r="UGB1" s="235"/>
      <c r="UGC1" s="235"/>
      <c r="UGD1" s="235"/>
      <c r="UGE1" s="235"/>
      <c r="UGF1" s="235"/>
      <c r="UGG1" s="235"/>
      <c r="UGH1" s="235"/>
      <c r="UGI1" s="235"/>
      <c r="UGJ1" s="235"/>
      <c r="UGK1" s="235"/>
      <c r="UGL1" s="235"/>
      <c r="UGM1" s="235"/>
      <c r="UGN1" s="235"/>
      <c r="UGO1" s="235"/>
      <c r="UGP1" s="235"/>
      <c r="UGQ1" s="235"/>
      <c r="UGR1" s="235"/>
      <c r="UGS1" s="235"/>
      <c r="UGT1" s="235"/>
      <c r="UGU1" s="235"/>
      <c r="UGV1" s="235"/>
      <c r="UGW1" s="235"/>
      <c r="UGX1" s="235"/>
      <c r="UGY1" s="235"/>
      <c r="UGZ1" s="235"/>
      <c r="UHA1" s="235"/>
      <c r="UHB1" s="235"/>
      <c r="UHC1" s="235"/>
      <c r="UHD1" s="235"/>
      <c r="UHE1" s="235"/>
      <c r="UHF1" s="235"/>
      <c r="UHG1" s="235"/>
      <c r="UHH1" s="235"/>
      <c r="UHI1" s="235"/>
      <c r="UHJ1" s="235"/>
      <c r="UHK1" s="235"/>
      <c r="UHL1" s="235"/>
      <c r="UHM1" s="235"/>
      <c r="UHN1" s="235"/>
      <c r="UHO1" s="235"/>
      <c r="UHP1" s="235"/>
      <c r="UHQ1" s="235"/>
      <c r="UHR1" s="235"/>
      <c r="UHS1" s="235"/>
      <c r="UHT1" s="235"/>
      <c r="UHU1" s="235"/>
      <c r="UHV1" s="235"/>
      <c r="UHW1" s="235"/>
      <c r="UHX1" s="235"/>
      <c r="UHY1" s="235"/>
      <c r="UHZ1" s="235"/>
      <c r="UIA1" s="235"/>
      <c r="UIB1" s="235"/>
      <c r="UIC1" s="235"/>
      <c r="UID1" s="235"/>
      <c r="UIE1" s="235"/>
      <c r="UIF1" s="235"/>
      <c r="UIG1" s="235"/>
      <c r="UIH1" s="235"/>
      <c r="UII1" s="235"/>
      <c r="UIJ1" s="235"/>
      <c r="UIK1" s="235"/>
      <c r="UIL1" s="235"/>
      <c r="UIM1" s="235"/>
      <c r="UIN1" s="235"/>
      <c r="UIO1" s="235"/>
      <c r="UIP1" s="235"/>
      <c r="UIQ1" s="235"/>
      <c r="UIR1" s="235"/>
      <c r="UIS1" s="235"/>
      <c r="UIT1" s="235"/>
      <c r="UIU1" s="235"/>
      <c r="UIV1" s="235"/>
      <c r="UIW1" s="235"/>
      <c r="UIX1" s="235"/>
      <c r="UIY1" s="235"/>
      <c r="UIZ1" s="235"/>
      <c r="UJA1" s="235"/>
      <c r="UJB1" s="235"/>
      <c r="UJC1" s="235"/>
      <c r="UJD1" s="235"/>
      <c r="UJE1" s="235"/>
      <c r="UJF1" s="235"/>
      <c r="UJG1" s="235"/>
      <c r="UJH1" s="235"/>
      <c r="UJI1" s="235"/>
      <c r="UJJ1" s="235"/>
      <c r="UJK1" s="235"/>
      <c r="UJL1" s="235"/>
      <c r="UJM1" s="235"/>
      <c r="UJN1" s="235"/>
      <c r="UJO1" s="235"/>
      <c r="UJP1" s="235"/>
      <c r="UJQ1" s="235"/>
      <c r="UJR1" s="235"/>
      <c r="UJS1" s="235"/>
      <c r="UJT1" s="235"/>
      <c r="UJU1" s="235"/>
      <c r="UJV1" s="235"/>
      <c r="UJW1" s="235"/>
      <c r="UJX1" s="235"/>
      <c r="UJY1" s="235"/>
      <c r="UJZ1" s="235"/>
      <c r="UKA1" s="235"/>
      <c r="UKB1" s="235"/>
      <c r="UKC1" s="235"/>
      <c r="UKD1" s="235"/>
      <c r="UKE1" s="235"/>
      <c r="UKF1" s="235"/>
      <c r="UKG1" s="235"/>
      <c r="UKH1" s="235"/>
      <c r="UKI1" s="235"/>
      <c r="UKJ1" s="235"/>
      <c r="UKK1" s="235"/>
      <c r="UKL1" s="235"/>
      <c r="UKM1" s="235"/>
      <c r="UKN1" s="235"/>
      <c r="UKO1" s="235"/>
      <c r="UKP1" s="235"/>
      <c r="UKQ1" s="235"/>
      <c r="UKR1" s="235"/>
      <c r="UKS1" s="235"/>
      <c r="UKT1" s="235"/>
      <c r="UKU1" s="235"/>
      <c r="UKV1" s="235"/>
      <c r="UKW1" s="235"/>
      <c r="UKX1" s="235"/>
      <c r="UKY1" s="235"/>
      <c r="UKZ1" s="235"/>
      <c r="ULA1" s="235"/>
      <c r="ULB1" s="235"/>
      <c r="ULC1" s="235"/>
      <c r="ULD1" s="235"/>
      <c r="ULE1" s="235"/>
      <c r="ULF1" s="235"/>
      <c r="ULG1" s="235"/>
      <c r="ULH1" s="235"/>
      <c r="ULI1" s="235"/>
      <c r="ULJ1" s="235"/>
      <c r="ULK1" s="235"/>
      <c r="ULL1" s="235"/>
      <c r="ULM1" s="235"/>
      <c r="ULN1" s="235"/>
      <c r="ULO1" s="235"/>
      <c r="ULP1" s="235"/>
      <c r="ULQ1" s="235"/>
      <c r="ULR1" s="235"/>
      <c r="ULS1" s="235"/>
      <c r="ULT1" s="235"/>
      <c r="ULU1" s="235"/>
      <c r="ULV1" s="235"/>
      <c r="ULW1" s="235"/>
      <c r="ULX1" s="235"/>
      <c r="ULY1" s="235"/>
      <c r="ULZ1" s="235"/>
      <c r="UMA1" s="235"/>
      <c r="UMB1" s="235"/>
      <c r="UMC1" s="235"/>
      <c r="UMD1" s="235"/>
      <c r="UME1" s="235"/>
      <c r="UMF1" s="235"/>
      <c r="UMG1" s="235"/>
      <c r="UMH1" s="235"/>
      <c r="UMI1" s="235"/>
      <c r="UMJ1" s="235"/>
      <c r="UMK1" s="235"/>
      <c r="UML1" s="235"/>
      <c r="UMM1" s="235"/>
      <c r="UMN1" s="235"/>
      <c r="UMO1" s="235"/>
      <c r="UMP1" s="235"/>
      <c r="UMQ1" s="235"/>
      <c r="UMR1" s="235"/>
      <c r="UMS1" s="235"/>
      <c r="UMT1" s="235"/>
      <c r="UMU1" s="235"/>
      <c r="UMV1" s="235"/>
      <c r="UMW1" s="235"/>
      <c r="UMX1" s="235"/>
      <c r="UMY1" s="235"/>
      <c r="UMZ1" s="235"/>
      <c r="UNA1" s="235"/>
      <c r="UNB1" s="235"/>
      <c r="UNC1" s="235"/>
      <c r="UND1" s="235"/>
      <c r="UNE1" s="235"/>
      <c r="UNF1" s="235"/>
      <c r="UNG1" s="235"/>
      <c r="UNH1" s="235"/>
      <c r="UNI1" s="235"/>
      <c r="UNJ1" s="235"/>
      <c r="UNK1" s="235"/>
      <c r="UNL1" s="235"/>
      <c r="UNM1" s="235"/>
      <c r="UNN1" s="235"/>
      <c r="UNO1" s="235"/>
      <c r="UNP1" s="235"/>
      <c r="UNQ1" s="235"/>
      <c r="UNR1" s="235"/>
      <c r="UNS1" s="235"/>
      <c r="UNT1" s="235"/>
      <c r="UNU1" s="235"/>
      <c r="UNV1" s="235"/>
      <c r="UNW1" s="235"/>
      <c r="UNX1" s="235"/>
      <c r="UNY1" s="235"/>
      <c r="UNZ1" s="235"/>
      <c r="UOA1" s="235"/>
      <c r="UOB1" s="235"/>
      <c r="UOC1" s="235"/>
      <c r="UOD1" s="235"/>
      <c r="UOE1" s="235"/>
      <c r="UOF1" s="235"/>
      <c r="UOG1" s="235"/>
      <c r="UOH1" s="235"/>
      <c r="UOI1" s="235"/>
      <c r="UOJ1" s="235"/>
      <c r="UOK1" s="235"/>
      <c r="UOL1" s="235"/>
      <c r="UOM1" s="235"/>
      <c r="UON1" s="235"/>
      <c r="UOO1" s="235"/>
      <c r="UOP1" s="235"/>
      <c r="UOQ1" s="235"/>
      <c r="UOR1" s="235"/>
      <c r="UOS1" s="235"/>
      <c r="UOT1" s="235"/>
      <c r="UOU1" s="235"/>
      <c r="UOV1" s="235"/>
      <c r="UOW1" s="235"/>
      <c r="UOX1" s="235"/>
      <c r="UOY1" s="235"/>
      <c r="UOZ1" s="235"/>
      <c r="UPA1" s="235"/>
      <c r="UPB1" s="235"/>
      <c r="UPC1" s="235"/>
      <c r="UPD1" s="235"/>
      <c r="UPE1" s="235"/>
      <c r="UPF1" s="235"/>
      <c r="UPG1" s="235"/>
      <c r="UPH1" s="235"/>
      <c r="UPI1" s="235"/>
      <c r="UPJ1" s="235"/>
      <c r="UPK1" s="235"/>
      <c r="UPL1" s="235"/>
      <c r="UPM1" s="235"/>
      <c r="UPN1" s="235"/>
      <c r="UPO1" s="235"/>
      <c r="UPP1" s="235"/>
      <c r="UPQ1" s="235"/>
      <c r="UPR1" s="235"/>
      <c r="UPS1" s="235"/>
      <c r="UPT1" s="235"/>
      <c r="UPU1" s="235"/>
      <c r="UPV1" s="235"/>
      <c r="UPW1" s="235"/>
      <c r="UPX1" s="235"/>
      <c r="UPY1" s="235"/>
      <c r="UPZ1" s="235"/>
      <c r="UQA1" s="235"/>
      <c r="UQB1" s="235"/>
      <c r="UQC1" s="235"/>
      <c r="UQD1" s="235"/>
      <c r="UQE1" s="235"/>
      <c r="UQF1" s="235"/>
      <c r="UQG1" s="235"/>
      <c r="UQH1" s="235"/>
      <c r="UQI1" s="235"/>
      <c r="UQJ1" s="235"/>
      <c r="UQK1" s="235"/>
      <c r="UQL1" s="235"/>
      <c r="UQM1" s="235"/>
      <c r="UQN1" s="235"/>
      <c r="UQO1" s="235"/>
      <c r="UQP1" s="235"/>
      <c r="UQQ1" s="235"/>
      <c r="UQR1" s="235"/>
      <c r="UQS1" s="235"/>
      <c r="UQT1" s="235"/>
      <c r="UQU1" s="235"/>
      <c r="UQV1" s="235"/>
      <c r="UQW1" s="235"/>
      <c r="UQX1" s="235"/>
      <c r="UQY1" s="235"/>
      <c r="UQZ1" s="235"/>
      <c r="URA1" s="235"/>
      <c r="URB1" s="235"/>
      <c r="URC1" s="235"/>
      <c r="URD1" s="235"/>
      <c r="URE1" s="235"/>
      <c r="URF1" s="235"/>
      <c r="URG1" s="235"/>
      <c r="URH1" s="235"/>
      <c r="URI1" s="235"/>
      <c r="URJ1" s="235"/>
      <c r="URK1" s="235"/>
      <c r="URL1" s="235"/>
      <c r="URM1" s="235"/>
      <c r="URN1" s="235"/>
      <c r="URO1" s="235"/>
      <c r="URP1" s="235"/>
      <c r="URQ1" s="235"/>
      <c r="URR1" s="235"/>
      <c r="URS1" s="235"/>
      <c r="URT1" s="235"/>
      <c r="URU1" s="235"/>
      <c r="URV1" s="235"/>
      <c r="URW1" s="235"/>
      <c r="URX1" s="235"/>
      <c r="URY1" s="235"/>
      <c r="URZ1" s="235"/>
      <c r="USA1" s="235"/>
      <c r="USB1" s="235"/>
      <c r="USC1" s="235"/>
      <c r="USD1" s="235"/>
      <c r="USE1" s="235"/>
      <c r="USF1" s="235"/>
      <c r="USG1" s="235"/>
      <c r="USH1" s="235"/>
      <c r="USI1" s="235"/>
      <c r="USJ1" s="235"/>
      <c r="USK1" s="235"/>
      <c r="USL1" s="235"/>
      <c r="USM1" s="235"/>
      <c r="USN1" s="235"/>
      <c r="USO1" s="235"/>
      <c r="USP1" s="235"/>
      <c r="USQ1" s="235"/>
      <c r="USR1" s="235"/>
      <c r="USS1" s="235"/>
      <c r="UST1" s="235"/>
      <c r="USU1" s="235"/>
      <c r="USV1" s="235"/>
      <c r="USW1" s="235"/>
      <c r="USX1" s="235"/>
      <c r="USY1" s="235"/>
      <c r="USZ1" s="235"/>
      <c r="UTA1" s="235"/>
      <c r="UTB1" s="235"/>
      <c r="UTC1" s="235"/>
      <c r="UTD1" s="235"/>
      <c r="UTE1" s="235"/>
      <c r="UTF1" s="235"/>
      <c r="UTG1" s="235"/>
      <c r="UTH1" s="235"/>
      <c r="UTI1" s="235"/>
      <c r="UTJ1" s="235"/>
      <c r="UTK1" s="235"/>
      <c r="UTL1" s="235"/>
      <c r="UTM1" s="235"/>
      <c r="UTN1" s="235"/>
      <c r="UTO1" s="235"/>
      <c r="UTP1" s="235"/>
      <c r="UTQ1" s="235"/>
      <c r="UTR1" s="235"/>
      <c r="UTS1" s="235"/>
      <c r="UTT1" s="235"/>
      <c r="UTU1" s="235"/>
      <c r="UTV1" s="235"/>
      <c r="UTW1" s="235"/>
      <c r="UTX1" s="235"/>
      <c r="UTY1" s="235"/>
      <c r="UTZ1" s="235"/>
      <c r="UUA1" s="235"/>
      <c r="UUB1" s="235"/>
      <c r="UUC1" s="235"/>
      <c r="UUD1" s="235"/>
      <c r="UUE1" s="235"/>
      <c r="UUF1" s="235"/>
      <c r="UUG1" s="235"/>
      <c r="UUH1" s="235"/>
      <c r="UUI1" s="235"/>
      <c r="UUJ1" s="235"/>
      <c r="UUK1" s="235"/>
      <c r="UUL1" s="235"/>
      <c r="UUM1" s="235"/>
      <c r="UUN1" s="235"/>
      <c r="UUO1" s="235"/>
      <c r="UUP1" s="235"/>
      <c r="UUQ1" s="235"/>
      <c r="UUR1" s="235"/>
      <c r="UUS1" s="235"/>
      <c r="UUT1" s="235"/>
      <c r="UUU1" s="235"/>
      <c r="UUV1" s="235"/>
      <c r="UUW1" s="235"/>
      <c r="UUX1" s="235"/>
      <c r="UUY1" s="235"/>
      <c r="UUZ1" s="235"/>
      <c r="UVA1" s="235"/>
      <c r="UVB1" s="235"/>
      <c r="UVC1" s="235"/>
      <c r="UVD1" s="235"/>
      <c r="UVE1" s="235"/>
      <c r="UVF1" s="235"/>
      <c r="UVG1" s="235"/>
      <c r="UVH1" s="235"/>
      <c r="UVI1" s="235"/>
      <c r="UVJ1" s="235"/>
      <c r="UVK1" s="235"/>
      <c r="UVL1" s="235"/>
      <c r="UVM1" s="235"/>
      <c r="UVN1" s="235"/>
      <c r="UVO1" s="235"/>
      <c r="UVP1" s="235"/>
      <c r="UVQ1" s="235"/>
      <c r="UVR1" s="235"/>
      <c r="UVS1" s="235"/>
      <c r="UVT1" s="235"/>
      <c r="UVU1" s="235"/>
      <c r="UVV1" s="235"/>
      <c r="UVW1" s="235"/>
      <c r="UVX1" s="235"/>
      <c r="UVY1" s="235"/>
      <c r="UVZ1" s="235"/>
      <c r="UWA1" s="235"/>
      <c r="UWB1" s="235"/>
      <c r="UWC1" s="235"/>
      <c r="UWD1" s="235"/>
      <c r="UWE1" s="235"/>
      <c r="UWF1" s="235"/>
      <c r="UWG1" s="235"/>
      <c r="UWH1" s="235"/>
      <c r="UWI1" s="235"/>
      <c r="UWJ1" s="235"/>
      <c r="UWK1" s="235"/>
      <c r="UWL1" s="235"/>
      <c r="UWM1" s="235"/>
      <c r="UWN1" s="235"/>
      <c r="UWO1" s="235"/>
      <c r="UWP1" s="235"/>
      <c r="UWQ1" s="235"/>
      <c r="UWR1" s="235"/>
      <c r="UWS1" s="235"/>
      <c r="UWT1" s="235"/>
      <c r="UWU1" s="235"/>
      <c r="UWV1" s="235"/>
      <c r="UWW1" s="235"/>
      <c r="UWX1" s="235"/>
      <c r="UWY1" s="235"/>
      <c r="UWZ1" s="235"/>
      <c r="UXA1" s="235"/>
      <c r="UXB1" s="235"/>
      <c r="UXC1" s="235"/>
      <c r="UXD1" s="235"/>
      <c r="UXE1" s="235"/>
      <c r="UXF1" s="235"/>
      <c r="UXG1" s="235"/>
      <c r="UXH1" s="235"/>
      <c r="UXI1" s="235"/>
      <c r="UXJ1" s="235"/>
      <c r="UXK1" s="235"/>
      <c r="UXL1" s="235"/>
      <c r="UXM1" s="235"/>
      <c r="UXN1" s="235"/>
      <c r="UXO1" s="235"/>
      <c r="UXP1" s="235"/>
      <c r="UXQ1" s="235"/>
      <c r="UXR1" s="235"/>
      <c r="UXS1" s="235"/>
      <c r="UXT1" s="235"/>
      <c r="UXU1" s="235"/>
      <c r="UXV1" s="235"/>
      <c r="UXW1" s="235"/>
      <c r="UXX1" s="235"/>
      <c r="UXY1" s="235"/>
      <c r="UXZ1" s="235"/>
      <c r="UYA1" s="235"/>
      <c r="UYB1" s="235"/>
      <c r="UYC1" s="235"/>
      <c r="UYD1" s="235"/>
      <c r="UYE1" s="235"/>
      <c r="UYF1" s="235"/>
      <c r="UYG1" s="235"/>
      <c r="UYH1" s="235"/>
      <c r="UYI1" s="235"/>
      <c r="UYJ1" s="235"/>
      <c r="UYK1" s="235"/>
      <c r="UYL1" s="235"/>
      <c r="UYM1" s="235"/>
      <c r="UYN1" s="235"/>
      <c r="UYO1" s="235"/>
      <c r="UYP1" s="235"/>
      <c r="UYQ1" s="235"/>
      <c r="UYR1" s="235"/>
      <c r="UYS1" s="235"/>
      <c r="UYT1" s="235"/>
      <c r="UYU1" s="235"/>
      <c r="UYV1" s="235"/>
      <c r="UYW1" s="235"/>
      <c r="UYX1" s="235"/>
      <c r="UYY1" s="235"/>
      <c r="UYZ1" s="235"/>
      <c r="UZA1" s="235"/>
      <c r="UZB1" s="235"/>
      <c r="UZC1" s="235"/>
      <c r="UZD1" s="235"/>
      <c r="UZE1" s="235"/>
      <c r="UZF1" s="235"/>
      <c r="UZG1" s="235"/>
      <c r="UZH1" s="235"/>
      <c r="UZI1" s="235"/>
      <c r="UZJ1" s="235"/>
      <c r="UZK1" s="235"/>
      <c r="UZL1" s="235"/>
      <c r="UZM1" s="235"/>
      <c r="UZN1" s="235"/>
      <c r="UZO1" s="235"/>
      <c r="UZP1" s="235"/>
      <c r="UZQ1" s="235"/>
      <c r="UZR1" s="235"/>
      <c r="UZS1" s="235"/>
      <c r="UZT1" s="235"/>
      <c r="UZU1" s="235"/>
      <c r="UZV1" s="235"/>
      <c r="UZW1" s="235"/>
      <c r="UZX1" s="235"/>
      <c r="UZY1" s="235"/>
      <c r="UZZ1" s="235"/>
      <c r="VAA1" s="235"/>
      <c r="VAB1" s="235"/>
      <c r="VAC1" s="235"/>
      <c r="VAD1" s="235"/>
      <c r="VAE1" s="235"/>
      <c r="VAF1" s="235"/>
      <c r="VAG1" s="235"/>
      <c r="VAH1" s="235"/>
      <c r="VAI1" s="235"/>
      <c r="VAJ1" s="235"/>
      <c r="VAK1" s="235"/>
      <c r="VAL1" s="235"/>
      <c r="VAM1" s="235"/>
      <c r="VAN1" s="235"/>
      <c r="VAO1" s="235"/>
      <c r="VAP1" s="235"/>
      <c r="VAQ1" s="235"/>
      <c r="VAR1" s="235"/>
      <c r="VAS1" s="235"/>
      <c r="VAT1" s="235"/>
      <c r="VAU1" s="235"/>
      <c r="VAV1" s="235"/>
      <c r="VAW1" s="235"/>
      <c r="VAX1" s="235"/>
      <c r="VAY1" s="235"/>
      <c r="VAZ1" s="235"/>
      <c r="VBA1" s="235"/>
      <c r="VBB1" s="235"/>
      <c r="VBC1" s="235"/>
      <c r="VBD1" s="235"/>
      <c r="VBE1" s="235"/>
      <c r="VBF1" s="235"/>
      <c r="VBG1" s="235"/>
      <c r="VBH1" s="235"/>
      <c r="VBI1" s="235"/>
      <c r="VBJ1" s="235"/>
      <c r="VBK1" s="235"/>
      <c r="VBL1" s="235"/>
      <c r="VBM1" s="235"/>
      <c r="VBN1" s="235"/>
      <c r="VBO1" s="235"/>
      <c r="VBP1" s="235"/>
      <c r="VBQ1" s="235"/>
      <c r="VBR1" s="235"/>
      <c r="VBS1" s="235"/>
      <c r="VBT1" s="235"/>
      <c r="VBU1" s="235"/>
      <c r="VBV1" s="235"/>
      <c r="VBW1" s="235"/>
      <c r="VBX1" s="235"/>
      <c r="VBY1" s="235"/>
      <c r="VBZ1" s="235"/>
      <c r="VCA1" s="235"/>
      <c r="VCB1" s="235"/>
      <c r="VCC1" s="235"/>
      <c r="VCD1" s="235"/>
      <c r="VCE1" s="235"/>
      <c r="VCF1" s="235"/>
      <c r="VCG1" s="235"/>
      <c r="VCH1" s="235"/>
      <c r="VCI1" s="235"/>
      <c r="VCJ1" s="235"/>
      <c r="VCK1" s="235"/>
      <c r="VCL1" s="235"/>
      <c r="VCM1" s="235"/>
      <c r="VCN1" s="235"/>
      <c r="VCO1" s="235"/>
      <c r="VCP1" s="235"/>
      <c r="VCQ1" s="235"/>
      <c r="VCR1" s="235"/>
      <c r="VCS1" s="235"/>
      <c r="VCT1" s="235"/>
      <c r="VCU1" s="235"/>
      <c r="VCV1" s="235"/>
      <c r="VCW1" s="235"/>
      <c r="VCX1" s="235"/>
      <c r="VCY1" s="235"/>
      <c r="VCZ1" s="235"/>
      <c r="VDA1" s="235"/>
      <c r="VDB1" s="235"/>
      <c r="VDC1" s="235"/>
      <c r="VDD1" s="235"/>
      <c r="VDE1" s="235"/>
      <c r="VDF1" s="235"/>
      <c r="VDG1" s="235"/>
      <c r="VDH1" s="235"/>
      <c r="VDI1" s="235"/>
      <c r="VDJ1" s="235"/>
      <c r="VDK1" s="235"/>
      <c r="VDL1" s="235"/>
      <c r="VDM1" s="235"/>
      <c r="VDN1" s="235"/>
      <c r="VDO1" s="235"/>
      <c r="VDP1" s="235"/>
      <c r="VDQ1" s="235"/>
      <c r="VDR1" s="235"/>
      <c r="VDS1" s="235"/>
      <c r="VDT1" s="235"/>
      <c r="VDU1" s="235"/>
      <c r="VDV1" s="235"/>
      <c r="VDW1" s="235"/>
      <c r="VDX1" s="235"/>
      <c r="VDY1" s="235"/>
      <c r="VDZ1" s="235"/>
      <c r="VEA1" s="235"/>
      <c r="VEB1" s="235"/>
      <c r="VEC1" s="235"/>
      <c r="VED1" s="235"/>
      <c r="VEE1" s="235"/>
      <c r="VEF1" s="235"/>
      <c r="VEG1" s="235"/>
      <c r="VEH1" s="235"/>
      <c r="VEI1" s="235"/>
      <c r="VEJ1" s="235"/>
      <c r="VEK1" s="235"/>
      <c r="VEL1" s="235"/>
      <c r="VEM1" s="235"/>
      <c r="VEN1" s="235"/>
      <c r="VEO1" s="235"/>
      <c r="VEP1" s="235"/>
      <c r="VEQ1" s="235"/>
      <c r="VER1" s="235"/>
      <c r="VES1" s="235"/>
      <c r="VET1" s="235"/>
      <c r="VEU1" s="235"/>
      <c r="VEV1" s="235"/>
      <c r="VEW1" s="235"/>
      <c r="VEX1" s="235"/>
      <c r="VEY1" s="235"/>
      <c r="VEZ1" s="235"/>
      <c r="VFA1" s="235"/>
      <c r="VFB1" s="235"/>
      <c r="VFC1" s="235"/>
      <c r="VFD1" s="235"/>
      <c r="VFE1" s="235"/>
      <c r="VFF1" s="235"/>
      <c r="VFG1" s="235"/>
      <c r="VFH1" s="235"/>
      <c r="VFI1" s="235"/>
      <c r="VFJ1" s="235"/>
      <c r="VFK1" s="235"/>
      <c r="VFL1" s="235"/>
      <c r="VFM1" s="235"/>
      <c r="VFN1" s="235"/>
      <c r="VFO1" s="235"/>
      <c r="VFP1" s="235"/>
      <c r="VFQ1" s="235"/>
      <c r="VFR1" s="235"/>
      <c r="VFS1" s="235"/>
      <c r="VFT1" s="235"/>
      <c r="VFU1" s="235"/>
      <c r="VFV1" s="235"/>
      <c r="VFW1" s="235"/>
      <c r="VFX1" s="235"/>
      <c r="VFY1" s="235"/>
      <c r="VFZ1" s="235"/>
      <c r="VGA1" s="235"/>
      <c r="VGB1" s="235"/>
      <c r="VGC1" s="235"/>
      <c r="VGD1" s="235"/>
      <c r="VGE1" s="235"/>
      <c r="VGF1" s="235"/>
      <c r="VGG1" s="235"/>
      <c r="VGH1" s="235"/>
      <c r="VGI1" s="235"/>
      <c r="VGJ1" s="235"/>
      <c r="VGK1" s="235"/>
      <c r="VGL1" s="235"/>
      <c r="VGM1" s="235"/>
      <c r="VGN1" s="235"/>
      <c r="VGO1" s="235"/>
      <c r="VGP1" s="235"/>
      <c r="VGQ1" s="235"/>
      <c r="VGR1" s="235"/>
      <c r="VGS1" s="235"/>
      <c r="VGT1" s="235"/>
      <c r="VGU1" s="235"/>
      <c r="VGV1" s="235"/>
      <c r="VGW1" s="235"/>
      <c r="VGX1" s="235"/>
      <c r="VGY1" s="235"/>
      <c r="VGZ1" s="235"/>
      <c r="VHA1" s="235"/>
      <c r="VHB1" s="235"/>
      <c r="VHC1" s="235"/>
      <c r="VHD1" s="235"/>
      <c r="VHE1" s="235"/>
      <c r="VHF1" s="235"/>
      <c r="VHG1" s="235"/>
      <c r="VHH1" s="235"/>
      <c r="VHI1" s="235"/>
      <c r="VHJ1" s="235"/>
      <c r="VHK1" s="235"/>
      <c r="VHL1" s="235"/>
      <c r="VHM1" s="235"/>
      <c r="VHN1" s="235"/>
      <c r="VHO1" s="235"/>
      <c r="VHP1" s="235"/>
      <c r="VHQ1" s="235"/>
      <c r="VHR1" s="235"/>
      <c r="VHS1" s="235"/>
      <c r="VHT1" s="235"/>
      <c r="VHU1" s="235"/>
      <c r="VHV1" s="235"/>
      <c r="VHW1" s="235"/>
      <c r="VHX1" s="235"/>
      <c r="VHY1" s="235"/>
      <c r="VHZ1" s="235"/>
      <c r="VIA1" s="235"/>
      <c r="VIB1" s="235"/>
      <c r="VIC1" s="235"/>
      <c r="VID1" s="235"/>
      <c r="VIE1" s="235"/>
      <c r="VIF1" s="235"/>
      <c r="VIG1" s="235"/>
      <c r="VIH1" s="235"/>
      <c r="VII1" s="235"/>
      <c r="VIJ1" s="235"/>
      <c r="VIK1" s="235"/>
      <c r="VIL1" s="235"/>
      <c r="VIM1" s="235"/>
      <c r="VIN1" s="235"/>
      <c r="VIO1" s="235"/>
      <c r="VIP1" s="235"/>
      <c r="VIQ1" s="235"/>
      <c r="VIR1" s="235"/>
      <c r="VIS1" s="235"/>
      <c r="VIT1" s="235"/>
      <c r="VIU1" s="235"/>
      <c r="VIV1" s="235"/>
      <c r="VIW1" s="235"/>
      <c r="VIX1" s="235"/>
      <c r="VIY1" s="235"/>
      <c r="VIZ1" s="235"/>
      <c r="VJA1" s="235"/>
      <c r="VJB1" s="235"/>
      <c r="VJC1" s="235"/>
      <c r="VJD1" s="235"/>
      <c r="VJE1" s="235"/>
      <c r="VJF1" s="235"/>
      <c r="VJG1" s="235"/>
      <c r="VJH1" s="235"/>
      <c r="VJI1" s="235"/>
      <c r="VJJ1" s="235"/>
      <c r="VJK1" s="235"/>
      <c r="VJL1" s="235"/>
      <c r="VJM1" s="235"/>
      <c r="VJN1" s="235"/>
      <c r="VJO1" s="235"/>
      <c r="VJP1" s="235"/>
      <c r="VJQ1" s="235"/>
      <c r="VJR1" s="235"/>
      <c r="VJS1" s="235"/>
      <c r="VJT1" s="235"/>
      <c r="VJU1" s="235"/>
      <c r="VJV1" s="235"/>
      <c r="VJW1" s="235"/>
      <c r="VJX1" s="235"/>
      <c r="VJY1" s="235"/>
      <c r="VJZ1" s="235"/>
      <c r="VKA1" s="235"/>
      <c r="VKB1" s="235"/>
      <c r="VKC1" s="235"/>
      <c r="VKD1" s="235"/>
      <c r="VKE1" s="235"/>
      <c r="VKF1" s="235"/>
      <c r="VKG1" s="235"/>
      <c r="VKH1" s="235"/>
      <c r="VKI1" s="235"/>
      <c r="VKJ1" s="235"/>
      <c r="VKK1" s="235"/>
      <c r="VKL1" s="235"/>
      <c r="VKM1" s="235"/>
      <c r="VKN1" s="235"/>
      <c r="VKO1" s="235"/>
      <c r="VKP1" s="235"/>
      <c r="VKQ1" s="235"/>
      <c r="VKR1" s="235"/>
      <c r="VKS1" s="235"/>
      <c r="VKT1" s="235"/>
      <c r="VKU1" s="235"/>
      <c r="VKV1" s="235"/>
      <c r="VKW1" s="235"/>
      <c r="VKX1" s="235"/>
      <c r="VKY1" s="235"/>
      <c r="VKZ1" s="235"/>
      <c r="VLA1" s="235"/>
      <c r="VLB1" s="235"/>
      <c r="VLC1" s="235"/>
      <c r="VLD1" s="235"/>
      <c r="VLE1" s="235"/>
      <c r="VLF1" s="235"/>
      <c r="VLG1" s="235"/>
      <c r="VLH1" s="235"/>
      <c r="VLI1" s="235"/>
      <c r="VLJ1" s="235"/>
      <c r="VLK1" s="235"/>
      <c r="VLL1" s="235"/>
      <c r="VLM1" s="235"/>
      <c r="VLN1" s="235"/>
      <c r="VLO1" s="235"/>
      <c r="VLP1" s="235"/>
      <c r="VLQ1" s="235"/>
      <c r="VLR1" s="235"/>
      <c r="VLS1" s="235"/>
      <c r="VLT1" s="235"/>
      <c r="VLU1" s="235"/>
      <c r="VLV1" s="235"/>
      <c r="VLW1" s="235"/>
      <c r="VLX1" s="235"/>
      <c r="VLY1" s="235"/>
      <c r="VLZ1" s="235"/>
      <c r="VMA1" s="235"/>
      <c r="VMB1" s="235"/>
      <c r="VMC1" s="235"/>
      <c r="VMD1" s="235"/>
      <c r="VME1" s="235"/>
      <c r="VMF1" s="235"/>
      <c r="VMG1" s="235"/>
      <c r="VMH1" s="235"/>
      <c r="VMI1" s="235"/>
      <c r="VMJ1" s="235"/>
      <c r="VMK1" s="235"/>
      <c r="VML1" s="235"/>
      <c r="VMM1" s="235"/>
      <c r="VMN1" s="235"/>
      <c r="VMO1" s="235"/>
      <c r="VMP1" s="235"/>
      <c r="VMQ1" s="235"/>
      <c r="VMR1" s="235"/>
      <c r="VMS1" s="235"/>
      <c r="VMT1" s="235"/>
      <c r="VMU1" s="235"/>
      <c r="VMV1" s="235"/>
      <c r="VMW1" s="235"/>
      <c r="VMX1" s="235"/>
      <c r="VMY1" s="235"/>
      <c r="VMZ1" s="235"/>
      <c r="VNA1" s="235"/>
      <c r="VNB1" s="235"/>
      <c r="VNC1" s="235"/>
      <c r="VND1" s="235"/>
      <c r="VNE1" s="235"/>
      <c r="VNF1" s="235"/>
      <c r="VNG1" s="235"/>
      <c r="VNH1" s="235"/>
      <c r="VNI1" s="235"/>
      <c r="VNJ1" s="235"/>
      <c r="VNK1" s="235"/>
      <c r="VNL1" s="235"/>
      <c r="VNM1" s="235"/>
      <c r="VNN1" s="235"/>
      <c r="VNO1" s="235"/>
      <c r="VNP1" s="235"/>
      <c r="VNQ1" s="235"/>
      <c r="VNR1" s="235"/>
      <c r="VNS1" s="235"/>
      <c r="VNT1" s="235"/>
      <c r="VNU1" s="235"/>
      <c r="VNV1" s="235"/>
      <c r="VNW1" s="235"/>
      <c r="VNX1" s="235"/>
      <c r="VNY1" s="235"/>
      <c r="VNZ1" s="235"/>
      <c r="VOA1" s="235"/>
      <c r="VOB1" s="235"/>
      <c r="VOC1" s="235"/>
      <c r="VOD1" s="235"/>
      <c r="VOE1" s="235"/>
      <c r="VOF1" s="235"/>
      <c r="VOG1" s="235"/>
      <c r="VOH1" s="235"/>
      <c r="VOI1" s="235"/>
      <c r="VOJ1" s="235"/>
      <c r="VOK1" s="235"/>
      <c r="VOL1" s="235"/>
      <c r="VOM1" s="235"/>
      <c r="VON1" s="235"/>
      <c r="VOO1" s="235"/>
      <c r="VOP1" s="235"/>
      <c r="VOQ1" s="235"/>
      <c r="VOR1" s="235"/>
      <c r="VOS1" s="235"/>
      <c r="VOT1" s="235"/>
      <c r="VOU1" s="235"/>
      <c r="VOV1" s="235"/>
      <c r="VOW1" s="235"/>
      <c r="VOX1" s="235"/>
      <c r="VOY1" s="235"/>
      <c r="VOZ1" s="235"/>
      <c r="VPA1" s="235"/>
      <c r="VPB1" s="235"/>
      <c r="VPC1" s="235"/>
      <c r="VPD1" s="235"/>
      <c r="VPE1" s="235"/>
      <c r="VPF1" s="235"/>
      <c r="VPG1" s="235"/>
      <c r="VPH1" s="235"/>
      <c r="VPI1" s="235"/>
      <c r="VPJ1" s="235"/>
      <c r="VPK1" s="235"/>
      <c r="VPL1" s="235"/>
      <c r="VPM1" s="235"/>
      <c r="VPN1" s="235"/>
      <c r="VPO1" s="235"/>
      <c r="VPP1" s="235"/>
      <c r="VPQ1" s="235"/>
      <c r="VPR1" s="235"/>
      <c r="VPS1" s="235"/>
      <c r="VPT1" s="235"/>
      <c r="VPU1" s="235"/>
      <c r="VPV1" s="235"/>
      <c r="VPW1" s="235"/>
      <c r="VPX1" s="235"/>
      <c r="VPY1" s="235"/>
      <c r="VPZ1" s="235"/>
      <c r="VQA1" s="235"/>
      <c r="VQB1" s="235"/>
      <c r="VQC1" s="235"/>
      <c r="VQD1" s="235"/>
      <c r="VQE1" s="235"/>
      <c r="VQF1" s="235"/>
      <c r="VQG1" s="235"/>
      <c r="VQH1" s="235"/>
      <c r="VQI1" s="235"/>
      <c r="VQJ1" s="235"/>
      <c r="VQK1" s="235"/>
      <c r="VQL1" s="235"/>
      <c r="VQM1" s="235"/>
      <c r="VQN1" s="235"/>
      <c r="VQO1" s="235"/>
      <c r="VQP1" s="235"/>
      <c r="VQQ1" s="235"/>
      <c r="VQR1" s="235"/>
      <c r="VQS1" s="235"/>
      <c r="VQT1" s="235"/>
      <c r="VQU1" s="235"/>
      <c r="VQV1" s="235"/>
      <c r="VQW1" s="235"/>
      <c r="VQX1" s="235"/>
      <c r="VQY1" s="235"/>
      <c r="VQZ1" s="235"/>
      <c r="VRA1" s="235"/>
      <c r="VRB1" s="235"/>
      <c r="VRC1" s="235"/>
      <c r="VRD1" s="235"/>
      <c r="VRE1" s="235"/>
      <c r="VRF1" s="235"/>
      <c r="VRG1" s="235"/>
      <c r="VRH1" s="235"/>
      <c r="VRI1" s="235"/>
      <c r="VRJ1" s="235"/>
      <c r="VRK1" s="235"/>
      <c r="VRL1" s="235"/>
      <c r="VRM1" s="235"/>
      <c r="VRN1" s="235"/>
      <c r="VRO1" s="235"/>
      <c r="VRP1" s="235"/>
      <c r="VRQ1" s="235"/>
      <c r="VRR1" s="235"/>
      <c r="VRS1" s="235"/>
      <c r="VRT1" s="235"/>
      <c r="VRU1" s="235"/>
      <c r="VRV1" s="235"/>
      <c r="VRW1" s="235"/>
      <c r="VRX1" s="235"/>
      <c r="VRY1" s="235"/>
      <c r="VRZ1" s="235"/>
      <c r="VSA1" s="235"/>
      <c r="VSB1" s="235"/>
      <c r="VSC1" s="235"/>
      <c r="VSD1" s="235"/>
      <c r="VSE1" s="235"/>
      <c r="VSF1" s="235"/>
      <c r="VSG1" s="235"/>
      <c r="VSH1" s="235"/>
      <c r="VSI1" s="235"/>
      <c r="VSJ1" s="235"/>
      <c r="VSK1" s="235"/>
      <c r="VSL1" s="235"/>
      <c r="VSM1" s="235"/>
      <c r="VSN1" s="235"/>
      <c r="VSO1" s="235"/>
      <c r="VSP1" s="235"/>
      <c r="VSQ1" s="235"/>
      <c r="VSR1" s="235"/>
      <c r="VSS1" s="235"/>
      <c r="VST1" s="235"/>
      <c r="VSU1" s="235"/>
      <c r="VSV1" s="235"/>
      <c r="VSW1" s="235"/>
      <c r="VSX1" s="235"/>
      <c r="VSY1" s="235"/>
      <c r="VSZ1" s="235"/>
      <c r="VTA1" s="235"/>
      <c r="VTB1" s="235"/>
      <c r="VTC1" s="235"/>
      <c r="VTD1" s="235"/>
      <c r="VTE1" s="235"/>
      <c r="VTF1" s="235"/>
      <c r="VTG1" s="235"/>
      <c r="VTH1" s="235"/>
      <c r="VTI1" s="235"/>
      <c r="VTJ1" s="235"/>
      <c r="VTK1" s="235"/>
      <c r="VTL1" s="235"/>
      <c r="VTM1" s="235"/>
      <c r="VTN1" s="235"/>
      <c r="VTO1" s="235"/>
      <c r="VTP1" s="235"/>
      <c r="VTQ1" s="235"/>
      <c r="VTR1" s="235"/>
      <c r="VTS1" s="235"/>
      <c r="VTT1" s="235"/>
      <c r="VTU1" s="235"/>
      <c r="VTV1" s="235"/>
      <c r="VTW1" s="235"/>
      <c r="VTX1" s="235"/>
      <c r="VTY1" s="235"/>
      <c r="VTZ1" s="235"/>
      <c r="VUA1" s="235"/>
      <c r="VUB1" s="235"/>
      <c r="VUC1" s="235"/>
      <c r="VUD1" s="235"/>
      <c r="VUE1" s="235"/>
      <c r="VUF1" s="235"/>
      <c r="VUG1" s="235"/>
      <c r="VUH1" s="235"/>
      <c r="VUI1" s="235"/>
      <c r="VUJ1" s="235"/>
      <c r="VUK1" s="235"/>
      <c r="VUL1" s="235"/>
      <c r="VUM1" s="235"/>
      <c r="VUN1" s="235"/>
      <c r="VUO1" s="235"/>
      <c r="VUP1" s="235"/>
      <c r="VUQ1" s="235"/>
      <c r="VUR1" s="235"/>
      <c r="VUS1" s="235"/>
      <c r="VUT1" s="235"/>
      <c r="VUU1" s="235"/>
      <c r="VUV1" s="235"/>
      <c r="VUW1" s="235"/>
      <c r="VUX1" s="235"/>
      <c r="VUY1" s="235"/>
      <c r="VUZ1" s="235"/>
      <c r="VVA1" s="235"/>
      <c r="VVB1" s="235"/>
      <c r="VVC1" s="235"/>
      <c r="VVD1" s="235"/>
      <c r="VVE1" s="235"/>
      <c r="VVF1" s="235"/>
      <c r="VVG1" s="235"/>
      <c r="VVH1" s="235"/>
      <c r="VVI1" s="235"/>
      <c r="VVJ1" s="235"/>
      <c r="VVK1" s="235"/>
      <c r="VVL1" s="235"/>
      <c r="VVM1" s="235"/>
      <c r="VVN1" s="235"/>
      <c r="VVO1" s="235"/>
      <c r="VVP1" s="235"/>
      <c r="VVQ1" s="235"/>
      <c r="VVR1" s="235"/>
      <c r="VVS1" s="235"/>
      <c r="VVT1" s="235"/>
      <c r="VVU1" s="235"/>
      <c r="VVV1" s="235"/>
      <c r="VVW1" s="235"/>
      <c r="VVX1" s="235"/>
      <c r="VVY1" s="235"/>
      <c r="VVZ1" s="235"/>
      <c r="VWA1" s="235"/>
      <c r="VWB1" s="235"/>
      <c r="VWC1" s="235"/>
      <c r="VWD1" s="235"/>
      <c r="VWE1" s="235"/>
      <c r="VWF1" s="235"/>
      <c r="VWG1" s="235"/>
      <c r="VWH1" s="235"/>
      <c r="VWI1" s="235"/>
      <c r="VWJ1" s="235"/>
      <c r="VWK1" s="235"/>
      <c r="VWL1" s="235"/>
      <c r="VWM1" s="235"/>
      <c r="VWN1" s="235"/>
      <c r="VWO1" s="235"/>
      <c r="VWP1" s="235"/>
      <c r="VWQ1" s="235"/>
      <c r="VWR1" s="235"/>
      <c r="VWS1" s="235"/>
      <c r="VWT1" s="235"/>
      <c r="VWU1" s="235"/>
      <c r="VWV1" s="235"/>
      <c r="VWW1" s="235"/>
      <c r="VWX1" s="235"/>
      <c r="VWY1" s="235"/>
      <c r="VWZ1" s="235"/>
      <c r="VXA1" s="235"/>
      <c r="VXB1" s="235"/>
      <c r="VXC1" s="235"/>
      <c r="VXD1" s="235"/>
      <c r="VXE1" s="235"/>
      <c r="VXF1" s="235"/>
      <c r="VXG1" s="235"/>
      <c r="VXH1" s="235"/>
      <c r="VXI1" s="235"/>
      <c r="VXJ1" s="235"/>
      <c r="VXK1" s="235"/>
      <c r="VXL1" s="235"/>
      <c r="VXM1" s="235"/>
      <c r="VXN1" s="235"/>
      <c r="VXO1" s="235"/>
      <c r="VXP1" s="235"/>
      <c r="VXQ1" s="235"/>
      <c r="VXR1" s="235"/>
      <c r="VXS1" s="235"/>
      <c r="VXT1" s="235"/>
      <c r="VXU1" s="235"/>
      <c r="VXV1" s="235"/>
      <c r="VXW1" s="235"/>
      <c r="VXX1" s="235"/>
      <c r="VXY1" s="235"/>
      <c r="VXZ1" s="235"/>
      <c r="VYA1" s="235"/>
      <c r="VYB1" s="235"/>
      <c r="VYC1" s="235"/>
      <c r="VYD1" s="235"/>
      <c r="VYE1" s="235"/>
      <c r="VYF1" s="235"/>
      <c r="VYG1" s="235"/>
      <c r="VYH1" s="235"/>
      <c r="VYI1" s="235"/>
      <c r="VYJ1" s="235"/>
      <c r="VYK1" s="235"/>
      <c r="VYL1" s="235"/>
      <c r="VYM1" s="235"/>
      <c r="VYN1" s="235"/>
      <c r="VYO1" s="235"/>
      <c r="VYP1" s="235"/>
      <c r="VYQ1" s="235"/>
      <c r="VYR1" s="235"/>
      <c r="VYS1" s="235"/>
      <c r="VYT1" s="235"/>
      <c r="VYU1" s="235"/>
      <c r="VYV1" s="235"/>
      <c r="VYW1" s="235"/>
      <c r="VYX1" s="235"/>
      <c r="VYY1" s="235"/>
      <c r="VYZ1" s="235"/>
      <c r="VZA1" s="235"/>
      <c r="VZB1" s="235"/>
      <c r="VZC1" s="235"/>
      <c r="VZD1" s="235"/>
      <c r="VZE1" s="235"/>
      <c r="VZF1" s="235"/>
      <c r="VZG1" s="235"/>
      <c r="VZH1" s="235"/>
      <c r="VZI1" s="235"/>
      <c r="VZJ1" s="235"/>
      <c r="VZK1" s="235"/>
      <c r="VZL1" s="235"/>
      <c r="VZM1" s="235"/>
      <c r="VZN1" s="235"/>
      <c r="VZO1" s="235"/>
      <c r="VZP1" s="235"/>
      <c r="VZQ1" s="235"/>
      <c r="VZR1" s="235"/>
      <c r="VZS1" s="235"/>
      <c r="VZT1" s="235"/>
      <c r="VZU1" s="235"/>
      <c r="VZV1" s="235"/>
      <c r="VZW1" s="235"/>
      <c r="VZX1" s="235"/>
      <c r="VZY1" s="235"/>
      <c r="VZZ1" s="235"/>
      <c r="WAA1" s="235"/>
      <c r="WAB1" s="235"/>
      <c r="WAC1" s="235"/>
      <c r="WAD1" s="235"/>
      <c r="WAE1" s="235"/>
      <c r="WAF1" s="235"/>
      <c r="WAG1" s="235"/>
      <c r="WAH1" s="235"/>
      <c r="WAI1" s="235"/>
      <c r="WAJ1" s="235"/>
      <c r="WAK1" s="235"/>
      <c r="WAL1" s="235"/>
      <c r="WAM1" s="235"/>
      <c r="WAN1" s="235"/>
      <c r="WAO1" s="235"/>
      <c r="WAP1" s="235"/>
      <c r="WAQ1" s="235"/>
      <c r="WAR1" s="235"/>
      <c r="WAS1" s="235"/>
      <c r="WAT1" s="235"/>
      <c r="WAU1" s="235"/>
      <c r="WAV1" s="235"/>
      <c r="WAW1" s="235"/>
      <c r="WAX1" s="235"/>
      <c r="WAY1" s="235"/>
      <c r="WAZ1" s="235"/>
      <c r="WBA1" s="235"/>
      <c r="WBB1" s="235"/>
      <c r="WBC1" s="235"/>
      <c r="WBD1" s="235"/>
      <c r="WBE1" s="235"/>
      <c r="WBF1" s="235"/>
      <c r="WBG1" s="235"/>
      <c r="WBH1" s="235"/>
      <c r="WBI1" s="235"/>
      <c r="WBJ1" s="235"/>
      <c r="WBK1" s="235"/>
      <c r="WBL1" s="235"/>
      <c r="WBM1" s="235"/>
      <c r="WBN1" s="235"/>
      <c r="WBO1" s="235"/>
      <c r="WBP1" s="235"/>
      <c r="WBQ1" s="235"/>
      <c r="WBR1" s="235"/>
      <c r="WBS1" s="235"/>
      <c r="WBT1" s="235"/>
      <c r="WBU1" s="235"/>
      <c r="WBV1" s="235"/>
      <c r="WBW1" s="235"/>
      <c r="WBX1" s="235"/>
      <c r="WBY1" s="235"/>
      <c r="WBZ1" s="235"/>
      <c r="WCA1" s="235"/>
      <c r="WCB1" s="235"/>
      <c r="WCC1" s="235"/>
      <c r="WCD1" s="235"/>
      <c r="WCE1" s="235"/>
      <c r="WCF1" s="235"/>
      <c r="WCG1" s="235"/>
      <c r="WCH1" s="235"/>
      <c r="WCI1" s="235"/>
      <c r="WCJ1" s="235"/>
      <c r="WCK1" s="235"/>
      <c r="WCL1" s="235"/>
      <c r="WCM1" s="235"/>
      <c r="WCN1" s="235"/>
      <c r="WCO1" s="235"/>
      <c r="WCP1" s="235"/>
      <c r="WCQ1" s="235"/>
      <c r="WCR1" s="235"/>
      <c r="WCS1" s="235"/>
      <c r="WCT1" s="235"/>
      <c r="WCU1" s="235"/>
      <c r="WCV1" s="235"/>
      <c r="WCW1" s="235"/>
      <c r="WCX1" s="235"/>
      <c r="WCY1" s="235"/>
      <c r="WCZ1" s="235"/>
      <c r="WDA1" s="235"/>
      <c r="WDB1" s="235"/>
      <c r="WDC1" s="235"/>
      <c r="WDD1" s="235"/>
      <c r="WDE1" s="235"/>
      <c r="WDF1" s="235"/>
      <c r="WDG1" s="235"/>
      <c r="WDH1" s="235"/>
      <c r="WDI1" s="235"/>
      <c r="WDJ1" s="235"/>
      <c r="WDK1" s="235"/>
      <c r="WDL1" s="235"/>
      <c r="WDM1" s="235"/>
      <c r="WDN1" s="235"/>
      <c r="WDO1" s="235"/>
      <c r="WDP1" s="235"/>
      <c r="WDQ1" s="235"/>
      <c r="WDR1" s="235"/>
      <c r="WDS1" s="235"/>
      <c r="WDT1" s="235"/>
      <c r="WDU1" s="235"/>
      <c r="WDV1" s="235"/>
      <c r="WDW1" s="235"/>
      <c r="WDX1" s="235"/>
      <c r="WDY1" s="235"/>
      <c r="WDZ1" s="235"/>
      <c r="WEA1" s="235"/>
      <c r="WEB1" s="235"/>
      <c r="WEC1" s="235"/>
      <c r="WED1" s="235"/>
      <c r="WEE1" s="235"/>
      <c r="WEF1" s="235"/>
      <c r="WEG1" s="235"/>
      <c r="WEH1" s="235"/>
      <c r="WEI1" s="235"/>
      <c r="WEJ1" s="235"/>
      <c r="WEK1" s="235"/>
      <c r="WEL1" s="235"/>
      <c r="WEM1" s="235"/>
      <c r="WEN1" s="235"/>
      <c r="WEO1" s="235"/>
      <c r="WEP1" s="235"/>
      <c r="WEQ1" s="235"/>
      <c r="WER1" s="235"/>
      <c r="WES1" s="235"/>
      <c r="WET1" s="235"/>
      <c r="WEU1" s="235"/>
      <c r="WEV1" s="235"/>
      <c r="WEW1" s="235"/>
      <c r="WEX1" s="235"/>
      <c r="WEY1" s="235"/>
      <c r="WEZ1" s="235"/>
      <c r="WFA1" s="235"/>
      <c r="WFB1" s="235"/>
      <c r="WFC1" s="235"/>
      <c r="WFD1" s="235"/>
      <c r="WFE1" s="235"/>
      <c r="WFF1" s="235"/>
      <c r="WFG1" s="235"/>
      <c r="WFH1" s="235"/>
      <c r="WFI1" s="235"/>
      <c r="WFJ1" s="235"/>
      <c r="WFK1" s="235"/>
      <c r="WFL1" s="235"/>
      <c r="WFM1" s="235"/>
      <c r="WFN1" s="235"/>
      <c r="WFO1" s="235"/>
      <c r="WFP1" s="235"/>
      <c r="WFQ1" s="235"/>
      <c r="WFR1" s="235"/>
      <c r="WFS1" s="235"/>
      <c r="WFT1" s="235"/>
      <c r="WFU1" s="235"/>
      <c r="WFV1" s="235"/>
      <c r="WFW1" s="235"/>
      <c r="WFX1" s="235"/>
      <c r="WFY1" s="235"/>
      <c r="WFZ1" s="235"/>
      <c r="WGA1" s="235"/>
      <c r="WGB1" s="235"/>
      <c r="WGC1" s="235"/>
      <c r="WGD1" s="235"/>
      <c r="WGE1" s="235"/>
      <c r="WGF1" s="235"/>
      <c r="WGG1" s="235"/>
      <c r="WGH1" s="235"/>
      <c r="WGI1" s="235"/>
      <c r="WGJ1" s="235"/>
      <c r="WGK1" s="235"/>
      <c r="WGL1" s="235"/>
      <c r="WGM1" s="235"/>
      <c r="WGN1" s="235"/>
      <c r="WGO1" s="235"/>
      <c r="WGP1" s="235"/>
      <c r="WGQ1" s="235"/>
      <c r="WGR1" s="235"/>
      <c r="WGS1" s="235"/>
      <c r="WGT1" s="235"/>
      <c r="WGU1" s="235"/>
      <c r="WGV1" s="235"/>
      <c r="WGW1" s="235"/>
      <c r="WGX1" s="235"/>
      <c r="WGY1" s="235"/>
      <c r="WGZ1" s="235"/>
      <c r="WHA1" s="235"/>
      <c r="WHB1" s="235"/>
      <c r="WHC1" s="235"/>
      <c r="WHD1" s="235"/>
      <c r="WHE1" s="235"/>
      <c r="WHF1" s="235"/>
      <c r="WHG1" s="235"/>
      <c r="WHH1" s="235"/>
      <c r="WHI1" s="235"/>
      <c r="WHJ1" s="235"/>
      <c r="WHK1" s="235"/>
      <c r="WHL1" s="235"/>
      <c r="WHM1" s="235"/>
      <c r="WHN1" s="235"/>
      <c r="WHO1" s="235"/>
      <c r="WHP1" s="235"/>
      <c r="WHQ1" s="235"/>
      <c r="WHR1" s="235"/>
      <c r="WHS1" s="235"/>
      <c r="WHT1" s="235"/>
      <c r="WHU1" s="235"/>
      <c r="WHV1" s="235"/>
      <c r="WHW1" s="235"/>
      <c r="WHX1" s="235"/>
      <c r="WHY1" s="235"/>
      <c r="WHZ1" s="235"/>
      <c r="WIA1" s="235"/>
      <c r="WIB1" s="235"/>
      <c r="WIC1" s="235"/>
      <c r="WID1" s="235"/>
      <c r="WIE1" s="235"/>
      <c r="WIF1" s="235"/>
      <c r="WIG1" s="235"/>
      <c r="WIH1" s="235"/>
      <c r="WII1" s="235"/>
      <c r="WIJ1" s="235"/>
      <c r="WIK1" s="235"/>
      <c r="WIL1" s="235"/>
      <c r="WIM1" s="235"/>
      <c r="WIN1" s="235"/>
      <c r="WIO1" s="235"/>
      <c r="WIP1" s="235"/>
      <c r="WIQ1" s="235"/>
      <c r="WIR1" s="235"/>
      <c r="WIS1" s="235"/>
      <c r="WIT1" s="235"/>
      <c r="WIU1" s="235"/>
      <c r="WIV1" s="235"/>
      <c r="WIW1" s="235"/>
      <c r="WIX1" s="235"/>
      <c r="WIY1" s="235"/>
      <c r="WIZ1" s="235"/>
      <c r="WJA1" s="235"/>
      <c r="WJB1" s="235"/>
      <c r="WJC1" s="235"/>
      <c r="WJD1" s="235"/>
      <c r="WJE1" s="235"/>
      <c r="WJF1" s="235"/>
      <c r="WJG1" s="235"/>
      <c r="WJH1" s="235"/>
      <c r="WJI1" s="235"/>
      <c r="WJJ1" s="235"/>
      <c r="WJK1" s="235"/>
      <c r="WJL1" s="235"/>
      <c r="WJM1" s="235"/>
      <c r="WJN1" s="235"/>
      <c r="WJO1" s="235"/>
      <c r="WJP1" s="235"/>
      <c r="WJQ1" s="235"/>
      <c r="WJR1" s="235"/>
      <c r="WJS1" s="235"/>
      <c r="WJT1" s="235"/>
      <c r="WJU1" s="235"/>
      <c r="WJV1" s="235"/>
      <c r="WJW1" s="235"/>
      <c r="WJX1" s="235"/>
      <c r="WJY1" s="235"/>
      <c r="WJZ1" s="235"/>
      <c r="WKA1" s="235"/>
      <c r="WKB1" s="235"/>
      <c r="WKC1" s="235"/>
      <c r="WKD1" s="235"/>
      <c r="WKE1" s="235"/>
      <c r="WKF1" s="235"/>
      <c r="WKG1" s="235"/>
      <c r="WKH1" s="235"/>
      <c r="WKI1" s="235"/>
      <c r="WKJ1" s="235"/>
      <c r="WKK1" s="235"/>
      <c r="WKL1" s="235"/>
      <c r="WKM1" s="235"/>
      <c r="WKN1" s="235"/>
      <c r="WKO1" s="235"/>
      <c r="WKP1" s="235"/>
      <c r="WKQ1" s="235"/>
      <c r="WKR1" s="235"/>
      <c r="WKS1" s="235"/>
      <c r="WKT1" s="235"/>
      <c r="WKU1" s="235"/>
      <c r="WKV1" s="235"/>
      <c r="WKW1" s="235"/>
      <c r="WKX1" s="235"/>
      <c r="WKY1" s="235"/>
      <c r="WKZ1" s="235"/>
      <c r="WLA1" s="235"/>
      <c r="WLB1" s="235"/>
      <c r="WLC1" s="235"/>
      <c r="WLD1" s="235"/>
      <c r="WLE1" s="235"/>
      <c r="WLF1" s="235"/>
      <c r="WLG1" s="235"/>
      <c r="WLH1" s="235"/>
      <c r="WLI1" s="235"/>
      <c r="WLJ1" s="235"/>
      <c r="WLK1" s="235"/>
      <c r="WLL1" s="235"/>
      <c r="WLM1" s="235"/>
      <c r="WLN1" s="235"/>
      <c r="WLO1" s="235"/>
      <c r="WLP1" s="235"/>
      <c r="WLQ1" s="235"/>
      <c r="WLR1" s="235"/>
      <c r="WLS1" s="235"/>
      <c r="WLT1" s="235"/>
      <c r="WLU1" s="235"/>
      <c r="WLV1" s="235"/>
      <c r="WLW1" s="235"/>
      <c r="WLX1" s="235"/>
      <c r="WLY1" s="235"/>
      <c r="WLZ1" s="235"/>
      <c r="WMA1" s="235"/>
      <c r="WMB1" s="235"/>
      <c r="WMC1" s="235"/>
      <c r="WMD1" s="235"/>
      <c r="WME1" s="235"/>
      <c r="WMF1" s="235"/>
      <c r="WMG1" s="235"/>
      <c r="WMH1" s="235"/>
      <c r="WMI1" s="235"/>
      <c r="WMJ1" s="235"/>
      <c r="WMK1" s="235"/>
      <c r="WML1" s="235"/>
      <c r="WMM1" s="235"/>
      <c r="WMN1" s="235"/>
      <c r="WMO1" s="235"/>
      <c r="WMP1" s="235"/>
      <c r="WMQ1" s="235"/>
      <c r="WMR1" s="235"/>
      <c r="WMS1" s="235"/>
      <c r="WMT1" s="235"/>
      <c r="WMU1" s="235"/>
      <c r="WMV1" s="235"/>
      <c r="WMW1" s="235"/>
      <c r="WMX1" s="235"/>
      <c r="WMY1" s="235"/>
      <c r="WMZ1" s="235"/>
      <c r="WNA1" s="235"/>
      <c r="WNB1" s="235"/>
      <c r="WNC1" s="235"/>
      <c r="WND1" s="235"/>
      <c r="WNE1" s="235"/>
      <c r="WNF1" s="235"/>
      <c r="WNG1" s="235"/>
      <c r="WNH1" s="235"/>
      <c r="WNI1" s="235"/>
      <c r="WNJ1" s="235"/>
      <c r="WNK1" s="235"/>
      <c r="WNL1" s="235"/>
      <c r="WNM1" s="235"/>
      <c r="WNN1" s="235"/>
      <c r="WNO1" s="235"/>
      <c r="WNP1" s="235"/>
      <c r="WNQ1" s="235"/>
      <c r="WNR1" s="235"/>
      <c r="WNS1" s="235"/>
      <c r="WNT1" s="235"/>
      <c r="WNU1" s="235"/>
      <c r="WNV1" s="235"/>
      <c r="WNW1" s="235"/>
      <c r="WNX1" s="235"/>
      <c r="WNY1" s="235"/>
      <c r="WNZ1" s="235"/>
      <c r="WOA1" s="235"/>
      <c r="WOB1" s="235"/>
      <c r="WOC1" s="235"/>
      <c r="WOD1" s="235"/>
      <c r="WOE1" s="235"/>
      <c r="WOF1" s="235"/>
      <c r="WOG1" s="235"/>
      <c r="WOH1" s="235"/>
      <c r="WOI1" s="235"/>
      <c r="WOJ1" s="235"/>
      <c r="WOK1" s="235"/>
      <c r="WOL1" s="235"/>
      <c r="WOM1" s="235"/>
      <c r="WON1" s="235"/>
      <c r="WOO1" s="235"/>
      <c r="WOP1" s="235"/>
      <c r="WOQ1" s="235"/>
      <c r="WOR1" s="235"/>
      <c r="WOS1" s="235"/>
      <c r="WOT1" s="235"/>
      <c r="WOU1" s="235"/>
      <c r="WOV1" s="235"/>
      <c r="WOW1" s="235"/>
      <c r="WOX1" s="235"/>
      <c r="WOY1" s="235"/>
      <c r="WOZ1" s="235"/>
      <c r="WPA1" s="235"/>
      <c r="WPB1" s="235"/>
      <c r="WPC1" s="235"/>
      <c r="WPD1" s="235"/>
      <c r="WPE1" s="235"/>
      <c r="WPF1" s="235"/>
      <c r="WPG1" s="235"/>
      <c r="WPH1" s="235"/>
      <c r="WPI1" s="235"/>
      <c r="WPJ1" s="235"/>
      <c r="WPK1" s="235"/>
      <c r="WPL1" s="235"/>
      <c r="WPM1" s="235"/>
      <c r="WPN1" s="235"/>
      <c r="WPO1" s="235"/>
      <c r="WPP1" s="235"/>
      <c r="WPQ1" s="235"/>
      <c r="WPR1" s="235"/>
      <c r="WPS1" s="235"/>
      <c r="WPT1" s="235"/>
      <c r="WPU1" s="235"/>
      <c r="WPV1" s="235"/>
      <c r="WPW1" s="235"/>
      <c r="WPX1" s="235"/>
      <c r="WPY1" s="235"/>
      <c r="WPZ1" s="235"/>
      <c r="WQA1" s="235"/>
      <c r="WQB1" s="235"/>
      <c r="WQC1" s="235"/>
      <c r="WQD1" s="235"/>
      <c r="WQE1" s="235"/>
      <c r="WQF1" s="235"/>
      <c r="WQG1" s="235"/>
      <c r="WQH1" s="235"/>
      <c r="WQI1" s="235"/>
      <c r="WQJ1" s="235"/>
      <c r="WQK1" s="235"/>
      <c r="WQL1" s="235"/>
      <c r="WQM1" s="235"/>
      <c r="WQN1" s="235"/>
      <c r="WQO1" s="235"/>
      <c r="WQP1" s="235"/>
      <c r="WQQ1" s="235"/>
      <c r="WQR1" s="235"/>
      <c r="WQS1" s="235"/>
      <c r="WQT1" s="235"/>
      <c r="WQU1" s="235"/>
      <c r="WQV1" s="235"/>
      <c r="WQW1" s="235"/>
      <c r="WQX1" s="235"/>
      <c r="WQY1" s="235"/>
      <c r="WQZ1" s="235"/>
      <c r="WRA1" s="235"/>
      <c r="WRB1" s="235"/>
      <c r="WRC1" s="235"/>
      <c r="WRD1" s="235"/>
      <c r="WRE1" s="235"/>
      <c r="WRF1" s="235"/>
      <c r="WRG1" s="235"/>
      <c r="WRH1" s="235"/>
      <c r="WRI1" s="235"/>
      <c r="WRJ1" s="235"/>
      <c r="WRK1" s="235"/>
      <c r="WRL1" s="235"/>
      <c r="WRM1" s="235"/>
      <c r="WRN1" s="235"/>
      <c r="WRO1" s="235"/>
      <c r="WRP1" s="235"/>
      <c r="WRQ1" s="235"/>
      <c r="WRR1" s="235"/>
      <c r="WRS1" s="235"/>
      <c r="WRT1" s="235"/>
      <c r="WRU1" s="235"/>
      <c r="WRV1" s="235"/>
      <c r="WRW1" s="235"/>
      <c r="WRX1" s="235"/>
      <c r="WRY1" s="235"/>
      <c r="WRZ1" s="235"/>
      <c r="WSA1" s="235"/>
      <c r="WSB1" s="235"/>
      <c r="WSC1" s="235"/>
      <c r="WSD1" s="235"/>
      <c r="WSE1" s="235"/>
      <c r="WSF1" s="235"/>
      <c r="WSG1" s="235"/>
      <c r="WSH1" s="235"/>
      <c r="WSI1" s="235"/>
      <c r="WSJ1" s="235"/>
      <c r="WSK1" s="235"/>
      <c r="WSL1" s="235"/>
      <c r="WSM1" s="235"/>
      <c r="WSN1" s="235"/>
      <c r="WSO1" s="235"/>
      <c r="WSP1" s="235"/>
      <c r="WSQ1" s="235"/>
      <c r="WSR1" s="235"/>
      <c r="WSS1" s="235"/>
      <c r="WST1" s="235"/>
      <c r="WSU1" s="235"/>
      <c r="WSV1" s="235"/>
      <c r="WSW1" s="235"/>
      <c r="WSX1" s="235"/>
      <c r="WSY1" s="235"/>
      <c r="WSZ1" s="235"/>
      <c r="WTA1" s="235"/>
      <c r="WTB1" s="235"/>
      <c r="WTC1" s="235"/>
      <c r="WTD1" s="235"/>
      <c r="WTE1" s="235"/>
      <c r="WTF1" s="235"/>
      <c r="WTG1" s="235"/>
      <c r="WTH1" s="235"/>
      <c r="WTI1" s="235"/>
      <c r="WTJ1" s="235"/>
      <c r="WTK1" s="235"/>
      <c r="WTL1" s="235"/>
      <c r="WTM1" s="235"/>
      <c r="WTN1" s="235"/>
      <c r="WTO1" s="235"/>
      <c r="WTP1" s="235"/>
      <c r="WTQ1" s="235"/>
      <c r="WTR1" s="235"/>
      <c r="WTS1" s="235"/>
      <c r="WTT1" s="235"/>
      <c r="WTU1" s="235"/>
      <c r="WTV1" s="235"/>
      <c r="WTW1" s="235"/>
      <c r="WTX1" s="235"/>
      <c r="WTY1" s="235"/>
      <c r="WTZ1" s="235"/>
      <c r="WUA1" s="235"/>
      <c r="WUB1" s="235"/>
      <c r="WUC1" s="235"/>
      <c r="WUD1" s="235"/>
      <c r="WUE1" s="235"/>
      <c r="WUF1" s="235"/>
      <c r="WUG1" s="235"/>
      <c r="WUH1" s="235"/>
      <c r="WUI1" s="235"/>
      <c r="WUJ1" s="235"/>
      <c r="WUK1" s="235"/>
      <c r="WUL1" s="235"/>
      <c r="WUM1" s="235"/>
      <c r="WUN1" s="235"/>
      <c r="WUO1" s="235"/>
      <c r="WUP1" s="235"/>
      <c r="WUQ1" s="235"/>
      <c r="WUR1" s="235"/>
      <c r="WUS1" s="235"/>
      <c r="WUT1" s="235"/>
      <c r="WUU1" s="235"/>
      <c r="WUV1" s="235"/>
      <c r="WUW1" s="235"/>
      <c r="WUX1" s="235"/>
      <c r="WUY1" s="235"/>
      <c r="WUZ1" s="235"/>
      <c r="WVA1" s="235"/>
      <c r="WVB1" s="235"/>
      <c r="WVC1" s="235"/>
      <c r="WVD1" s="235"/>
      <c r="WVE1" s="235"/>
      <c r="WVF1" s="235"/>
      <c r="WVG1" s="235"/>
      <c r="WVH1" s="235"/>
      <c r="WVI1" s="235"/>
      <c r="WVJ1" s="235"/>
      <c r="WVK1" s="235"/>
      <c r="WVL1" s="235"/>
      <c r="WVM1" s="235"/>
      <c r="WVN1" s="235"/>
      <c r="WVO1" s="235"/>
      <c r="WVP1" s="235"/>
      <c r="WVQ1" s="235"/>
      <c r="WVR1" s="235"/>
      <c r="WVS1" s="235"/>
      <c r="WVT1" s="235"/>
      <c r="WVU1" s="235"/>
      <c r="WVV1" s="235"/>
      <c r="WVW1" s="235"/>
      <c r="WVX1" s="235"/>
      <c r="WVY1" s="235"/>
      <c r="WVZ1" s="235"/>
      <c r="WWA1" s="235"/>
      <c r="WWB1" s="235"/>
      <c r="WWC1" s="235"/>
      <c r="WWD1" s="235"/>
      <c r="WWE1" s="235"/>
      <c r="WWF1" s="235"/>
      <c r="WWG1" s="235"/>
      <c r="WWH1" s="235"/>
      <c r="WWI1" s="235"/>
      <c r="WWJ1" s="235"/>
      <c r="WWK1" s="235"/>
      <c r="WWL1" s="235"/>
      <c r="WWM1" s="235"/>
      <c r="WWN1" s="235"/>
      <c r="WWO1" s="235"/>
      <c r="WWP1" s="235"/>
      <c r="WWQ1" s="235"/>
      <c r="WWR1" s="235"/>
      <c r="WWS1" s="235"/>
      <c r="WWT1" s="235"/>
      <c r="WWU1" s="235"/>
      <c r="WWV1" s="235"/>
      <c r="WWW1" s="235"/>
      <c r="WWX1" s="235"/>
      <c r="WWY1" s="235"/>
      <c r="WWZ1" s="235"/>
      <c r="WXA1" s="235"/>
      <c r="WXB1" s="235"/>
      <c r="WXC1" s="235"/>
      <c r="WXD1" s="235"/>
      <c r="WXE1" s="235"/>
      <c r="WXF1" s="235"/>
      <c r="WXG1" s="235"/>
      <c r="WXH1" s="235"/>
      <c r="WXI1" s="235"/>
      <c r="WXJ1" s="235"/>
      <c r="WXK1" s="235"/>
      <c r="WXL1" s="235"/>
      <c r="WXM1" s="235"/>
      <c r="WXN1" s="235"/>
      <c r="WXO1" s="235"/>
      <c r="WXP1" s="235"/>
      <c r="WXQ1" s="235"/>
      <c r="WXR1" s="235"/>
      <c r="WXS1" s="235"/>
      <c r="WXT1" s="235"/>
      <c r="WXU1" s="235"/>
      <c r="WXV1" s="235"/>
      <c r="WXW1" s="235"/>
      <c r="WXX1" s="235"/>
      <c r="WXY1" s="235"/>
      <c r="WXZ1" s="235"/>
      <c r="WYA1" s="235"/>
      <c r="WYB1" s="235"/>
      <c r="WYC1" s="235"/>
      <c r="WYD1" s="235"/>
      <c r="WYE1" s="235"/>
      <c r="WYF1" s="235"/>
      <c r="WYG1" s="235"/>
      <c r="WYH1" s="235"/>
      <c r="WYI1" s="235"/>
      <c r="WYJ1" s="235"/>
      <c r="WYK1" s="235"/>
      <c r="WYL1" s="235"/>
      <c r="WYM1" s="235"/>
      <c r="WYN1" s="235"/>
      <c r="WYO1" s="235"/>
      <c r="WYP1" s="235"/>
      <c r="WYQ1" s="235"/>
      <c r="WYR1" s="235"/>
      <c r="WYS1" s="235"/>
      <c r="WYT1" s="235"/>
      <c r="WYU1" s="235"/>
      <c r="WYV1" s="235"/>
      <c r="WYW1" s="235"/>
      <c r="WYX1" s="235"/>
      <c r="WYY1" s="235"/>
      <c r="WYZ1" s="235"/>
      <c r="WZA1" s="235"/>
      <c r="WZB1" s="235"/>
      <c r="WZC1" s="235"/>
      <c r="WZD1" s="235"/>
      <c r="WZE1" s="235"/>
      <c r="WZF1" s="235"/>
      <c r="WZG1" s="235"/>
      <c r="WZH1" s="235"/>
      <c r="WZI1" s="235"/>
      <c r="WZJ1" s="235"/>
      <c r="WZK1" s="235"/>
      <c r="WZL1" s="235"/>
      <c r="WZM1" s="235"/>
      <c r="WZN1" s="235"/>
      <c r="WZO1" s="235"/>
      <c r="WZP1" s="235"/>
      <c r="WZQ1" s="235"/>
      <c r="WZR1" s="235"/>
      <c r="WZS1" s="235"/>
      <c r="WZT1" s="235"/>
      <c r="WZU1" s="235"/>
      <c r="WZV1" s="235"/>
      <c r="WZW1" s="235"/>
      <c r="WZX1" s="235"/>
      <c r="WZY1" s="235"/>
      <c r="WZZ1" s="235"/>
      <c r="XAA1" s="235"/>
      <c r="XAB1" s="235"/>
      <c r="XAC1" s="235"/>
      <c r="XAD1" s="235"/>
      <c r="XAE1" s="235"/>
      <c r="XAF1" s="235"/>
      <c r="XAG1" s="235"/>
      <c r="XAH1" s="235"/>
      <c r="XAI1" s="235"/>
      <c r="XAJ1" s="235"/>
      <c r="XAK1" s="235"/>
      <c r="XAL1" s="235"/>
      <c r="XAM1" s="235"/>
      <c r="XAN1" s="235"/>
      <c r="XAO1" s="235"/>
      <c r="XAP1" s="235"/>
      <c r="XAQ1" s="235"/>
      <c r="XAR1" s="235"/>
      <c r="XAS1" s="235"/>
      <c r="XAT1" s="235"/>
      <c r="XAU1" s="235"/>
      <c r="XAV1" s="235"/>
      <c r="XAW1" s="235"/>
      <c r="XAX1" s="235"/>
      <c r="XAY1" s="235"/>
      <c r="XAZ1" s="235"/>
      <c r="XBA1" s="235"/>
      <c r="XBB1" s="235"/>
      <c r="XBC1" s="235"/>
      <c r="XBD1" s="235"/>
      <c r="XBE1" s="235"/>
      <c r="XBF1" s="235"/>
      <c r="XBG1" s="235"/>
      <c r="XBH1" s="235"/>
      <c r="XBI1" s="235"/>
      <c r="XBJ1" s="235"/>
      <c r="XBK1" s="235"/>
      <c r="XBL1" s="235"/>
      <c r="XBM1" s="235"/>
      <c r="XBN1" s="235"/>
      <c r="XBO1" s="235"/>
      <c r="XBP1" s="235"/>
      <c r="XBQ1" s="235"/>
      <c r="XBR1" s="235"/>
      <c r="XBS1" s="235"/>
      <c r="XBT1" s="235"/>
      <c r="XBU1" s="235"/>
      <c r="XBV1" s="235"/>
      <c r="XBW1" s="235"/>
      <c r="XBX1" s="235"/>
      <c r="XBY1" s="235"/>
      <c r="XBZ1" s="235"/>
      <c r="XCA1" s="235"/>
      <c r="XCB1" s="235"/>
      <c r="XCC1" s="235"/>
      <c r="XCD1" s="235"/>
      <c r="XCE1" s="235"/>
      <c r="XCF1" s="235"/>
      <c r="XCG1" s="235"/>
      <c r="XCH1" s="235"/>
      <c r="XCI1" s="235"/>
      <c r="XCJ1" s="235"/>
      <c r="XCK1" s="235"/>
      <c r="XCL1" s="235"/>
      <c r="XCM1" s="235"/>
      <c r="XCN1" s="235"/>
      <c r="XCO1" s="235"/>
      <c r="XCP1" s="235"/>
      <c r="XCQ1" s="235"/>
      <c r="XCR1" s="235"/>
      <c r="XCS1" s="235"/>
      <c r="XCT1" s="235"/>
      <c r="XCU1" s="235"/>
      <c r="XCV1" s="235"/>
      <c r="XCW1" s="235"/>
      <c r="XCX1" s="235"/>
      <c r="XCY1" s="235"/>
      <c r="XCZ1" s="235"/>
      <c r="XDA1" s="235"/>
      <c r="XDB1" s="235"/>
      <c r="XDC1" s="235"/>
      <c r="XDD1" s="235"/>
      <c r="XDE1" s="235"/>
      <c r="XDF1" s="235"/>
      <c r="XDG1" s="235"/>
      <c r="XDH1" s="235"/>
      <c r="XDI1" s="235"/>
      <c r="XDJ1" s="235"/>
      <c r="XDK1" s="235"/>
      <c r="XDL1" s="235"/>
      <c r="XDM1" s="235"/>
      <c r="XDN1" s="235"/>
      <c r="XDO1" s="235"/>
      <c r="XDP1" s="235"/>
      <c r="XDQ1" s="235"/>
      <c r="XDR1" s="235"/>
      <c r="XDS1" s="235"/>
      <c r="XDT1" s="235"/>
      <c r="XDU1" s="235"/>
      <c r="XDV1" s="235"/>
      <c r="XDW1" s="235"/>
      <c r="XDX1" s="235"/>
      <c r="XDY1" s="235"/>
      <c r="XDZ1" s="235"/>
      <c r="XEA1" s="235"/>
      <c r="XEB1" s="235"/>
      <c r="XEC1" s="235"/>
      <c r="XED1" s="235"/>
      <c r="XEE1" s="235"/>
      <c r="XEF1" s="235"/>
      <c r="XEG1" s="235"/>
      <c r="XEH1" s="235"/>
      <c r="XEI1" s="235"/>
      <c r="XEJ1" s="235"/>
      <c r="XEK1" s="235"/>
      <c r="XEL1" s="235"/>
      <c r="XEM1" s="235"/>
      <c r="XEN1" s="235"/>
      <c r="XEO1" s="235"/>
      <c r="XEP1" s="235"/>
      <c r="XEQ1" s="235"/>
      <c r="XER1" s="235"/>
    </row>
    <row r="2" spans="1:16372" ht="15.65" x14ac:dyDescent="0.3">
      <c r="A2" s="829" t="s">
        <v>790</v>
      </c>
      <c r="B2" s="829"/>
      <c r="C2" s="829"/>
      <c r="D2" s="829"/>
      <c r="E2" s="829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5"/>
      <c r="CC2" s="235"/>
      <c r="CD2" s="235"/>
      <c r="CE2" s="235"/>
      <c r="CF2" s="235"/>
      <c r="CG2" s="235"/>
      <c r="CH2" s="235"/>
      <c r="CI2" s="235"/>
      <c r="CJ2" s="235"/>
      <c r="CK2" s="235"/>
      <c r="CL2" s="235"/>
      <c r="CM2" s="235"/>
      <c r="CN2" s="235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  <c r="DA2" s="235"/>
      <c r="DB2" s="235"/>
      <c r="DC2" s="235"/>
      <c r="DD2" s="235"/>
      <c r="DE2" s="235"/>
      <c r="DF2" s="235"/>
      <c r="DG2" s="235"/>
      <c r="DH2" s="235"/>
      <c r="DI2" s="235"/>
      <c r="DJ2" s="235"/>
      <c r="DK2" s="235"/>
      <c r="DL2" s="235"/>
      <c r="DM2" s="235"/>
      <c r="DN2" s="235"/>
      <c r="DO2" s="235"/>
      <c r="DP2" s="235"/>
      <c r="DQ2" s="235"/>
      <c r="DR2" s="235"/>
      <c r="DS2" s="235"/>
      <c r="DT2" s="235"/>
      <c r="DU2" s="235"/>
      <c r="DV2" s="235"/>
      <c r="DW2" s="235"/>
      <c r="DX2" s="235"/>
      <c r="DY2" s="235"/>
      <c r="DZ2" s="235"/>
      <c r="EA2" s="235"/>
      <c r="EB2" s="235"/>
      <c r="EC2" s="235"/>
      <c r="ED2" s="235"/>
      <c r="EE2" s="235"/>
      <c r="EF2" s="235"/>
      <c r="EG2" s="235"/>
      <c r="EH2" s="235"/>
      <c r="EI2" s="235"/>
      <c r="EJ2" s="235"/>
      <c r="EK2" s="235"/>
      <c r="EL2" s="235"/>
      <c r="EM2" s="235"/>
      <c r="EN2" s="235"/>
      <c r="EO2" s="235"/>
      <c r="EP2" s="235"/>
      <c r="EQ2" s="235"/>
      <c r="ER2" s="235"/>
      <c r="ES2" s="235"/>
      <c r="ET2" s="235"/>
      <c r="EU2" s="235"/>
      <c r="EV2" s="235"/>
      <c r="EW2" s="235"/>
      <c r="EX2" s="235"/>
      <c r="EY2" s="235"/>
      <c r="EZ2" s="235"/>
      <c r="FA2" s="235"/>
      <c r="FB2" s="235"/>
      <c r="FC2" s="235"/>
      <c r="FD2" s="235"/>
      <c r="FE2" s="235"/>
      <c r="FF2" s="235"/>
      <c r="FG2" s="235"/>
      <c r="FH2" s="235"/>
      <c r="FI2" s="235"/>
      <c r="FJ2" s="235"/>
      <c r="FK2" s="235"/>
      <c r="FL2" s="235"/>
      <c r="FM2" s="235"/>
      <c r="FN2" s="235"/>
      <c r="FO2" s="235"/>
      <c r="FP2" s="235"/>
      <c r="FQ2" s="235"/>
      <c r="FR2" s="235"/>
      <c r="FS2" s="235"/>
      <c r="FT2" s="235"/>
      <c r="FU2" s="235"/>
      <c r="FV2" s="235"/>
      <c r="FW2" s="235"/>
      <c r="FX2" s="235"/>
      <c r="FY2" s="235"/>
      <c r="FZ2" s="235"/>
      <c r="GA2" s="235"/>
      <c r="GB2" s="235"/>
      <c r="GC2" s="235"/>
      <c r="GD2" s="235"/>
      <c r="GE2" s="235"/>
      <c r="GF2" s="235"/>
      <c r="GG2" s="235"/>
      <c r="GH2" s="235"/>
      <c r="GI2" s="235"/>
      <c r="GJ2" s="235"/>
      <c r="GK2" s="235"/>
      <c r="GL2" s="235"/>
      <c r="GM2" s="235"/>
      <c r="GN2" s="235"/>
      <c r="GO2" s="235"/>
      <c r="GP2" s="235"/>
      <c r="GQ2" s="235"/>
      <c r="GR2" s="235"/>
      <c r="GS2" s="235"/>
      <c r="GT2" s="235"/>
      <c r="GU2" s="235"/>
      <c r="GV2" s="235"/>
      <c r="GW2" s="235"/>
      <c r="GX2" s="235"/>
      <c r="GY2" s="235"/>
      <c r="GZ2" s="235"/>
      <c r="HA2" s="235"/>
      <c r="HB2" s="235"/>
      <c r="HC2" s="235"/>
      <c r="HD2" s="235"/>
      <c r="HE2" s="235"/>
      <c r="HF2" s="235"/>
      <c r="HG2" s="235"/>
      <c r="HH2" s="235"/>
      <c r="HI2" s="235"/>
      <c r="HJ2" s="235"/>
      <c r="HK2" s="235"/>
      <c r="HL2" s="235"/>
      <c r="HM2" s="235"/>
      <c r="HN2" s="235"/>
      <c r="HO2" s="235"/>
      <c r="HP2" s="235"/>
      <c r="HQ2" s="235"/>
      <c r="HR2" s="235"/>
      <c r="HS2" s="235"/>
      <c r="HT2" s="235"/>
      <c r="HU2" s="235"/>
      <c r="HV2" s="235"/>
      <c r="HW2" s="235"/>
      <c r="HX2" s="235"/>
      <c r="HY2" s="235"/>
      <c r="HZ2" s="235"/>
      <c r="IA2" s="235"/>
      <c r="IB2" s="235"/>
      <c r="IC2" s="235"/>
      <c r="ID2" s="235"/>
      <c r="IE2" s="235"/>
      <c r="IF2" s="235"/>
      <c r="IG2" s="235"/>
      <c r="IH2" s="235"/>
      <c r="II2" s="235"/>
      <c r="IJ2" s="235"/>
      <c r="IK2" s="235"/>
      <c r="IL2" s="235"/>
      <c r="IM2" s="235"/>
      <c r="IN2" s="235"/>
      <c r="IO2" s="235"/>
      <c r="IP2" s="235"/>
      <c r="IQ2" s="235"/>
      <c r="IR2" s="235"/>
      <c r="IS2" s="235"/>
      <c r="IT2" s="235"/>
      <c r="IU2" s="235"/>
      <c r="IV2" s="235"/>
      <c r="IW2" s="235"/>
      <c r="IX2" s="235"/>
      <c r="IY2" s="235"/>
      <c r="IZ2" s="235"/>
      <c r="JA2" s="235"/>
      <c r="JB2" s="235"/>
      <c r="JC2" s="235"/>
      <c r="JD2" s="235"/>
      <c r="JE2" s="235"/>
      <c r="JF2" s="235"/>
      <c r="JG2" s="235"/>
      <c r="JH2" s="235"/>
      <c r="JI2" s="235"/>
      <c r="JJ2" s="235"/>
      <c r="JK2" s="235"/>
      <c r="JL2" s="235"/>
      <c r="JM2" s="235"/>
      <c r="JN2" s="235"/>
      <c r="JO2" s="235"/>
      <c r="JP2" s="235"/>
      <c r="JQ2" s="235"/>
      <c r="JR2" s="235"/>
      <c r="JS2" s="235"/>
      <c r="JT2" s="235"/>
      <c r="JU2" s="235"/>
      <c r="JV2" s="235"/>
      <c r="JW2" s="235"/>
      <c r="JX2" s="235"/>
      <c r="JY2" s="235"/>
      <c r="JZ2" s="235"/>
      <c r="KA2" s="235"/>
      <c r="KB2" s="235"/>
      <c r="KC2" s="235"/>
      <c r="KD2" s="235"/>
      <c r="KE2" s="235"/>
      <c r="KF2" s="235"/>
      <c r="KG2" s="235"/>
      <c r="KH2" s="235"/>
      <c r="KI2" s="235"/>
      <c r="KJ2" s="235"/>
      <c r="KK2" s="235"/>
      <c r="KL2" s="235"/>
      <c r="KM2" s="235"/>
      <c r="KN2" s="235"/>
      <c r="KO2" s="235"/>
      <c r="KP2" s="235"/>
      <c r="KQ2" s="235"/>
      <c r="KR2" s="235"/>
      <c r="KS2" s="235"/>
      <c r="KT2" s="235"/>
      <c r="KU2" s="235"/>
      <c r="KV2" s="235"/>
      <c r="KW2" s="235"/>
      <c r="KX2" s="235"/>
      <c r="KY2" s="235"/>
      <c r="KZ2" s="235"/>
      <c r="LA2" s="235"/>
      <c r="LB2" s="235"/>
      <c r="LC2" s="235"/>
      <c r="LD2" s="235"/>
      <c r="LE2" s="235"/>
      <c r="LF2" s="235"/>
      <c r="LG2" s="235"/>
      <c r="LH2" s="235"/>
      <c r="LI2" s="235"/>
      <c r="LJ2" s="235"/>
      <c r="LK2" s="235"/>
      <c r="LL2" s="235"/>
      <c r="LM2" s="235"/>
      <c r="LN2" s="235"/>
      <c r="LO2" s="235"/>
      <c r="LP2" s="235"/>
      <c r="LQ2" s="235"/>
      <c r="LR2" s="235"/>
      <c r="LS2" s="235"/>
      <c r="LT2" s="235"/>
      <c r="LU2" s="235"/>
      <c r="LV2" s="235"/>
      <c r="LW2" s="235"/>
      <c r="LX2" s="235"/>
      <c r="LY2" s="235"/>
      <c r="LZ2" s="235"/>
      <c r="MA2" s="235"/>
      <c r="MB2" s="235"/>
      <c r="MC2" s="235"/>
      <c r="MD2" s="235"/>
      <c r="ME2" s="235"/>
      <c r="MF2" s="235"/>
      <c r="MG2" s="235"/>
      <c r="MH2" s="235"/>
      <c r="MI2" s="235"/>
      <c r="MJ2" s="235"/>
      <c r="MK2" s="235"/>
      <c r="ML2" s="235"/>
      <c r="MM2" s="235"/>
      <c r="MN2" s="235"/>
      <c r="MO2" s="235"/>
      <c r="MP2" s="235"/>
      <c r="MQ2" s="235"/>
      <c r="MR2" s="235"/>
      <c r="MS2" s="235"/>
      <c r="MT2" s="235"/>
      <c r="MU2" s="235"/>
      <c r="MV2" s="235"/>
      <c r="MW2" s="235"/>
      <c r="MX2" s="235"/>
      <c r="MY2" s="235"/>
      <c r="MZ2" s="235"/>
      <c r="NA2" s="235"/>
      <c r="NB2" s="235"/>
      <c r="NC2" s="235"/>
      <c r="ND2" s="235"/>
      <c r="NE2" s="235"/>
      <c r="NF2" s="235"/>
      <c r="NG2" s="235"/>
      <c r="NH2" s="235"/>
      <c r="NI2" s="235"/>
      <c r="NJ2" s="235"/>
      <c r="NK2" s="235"/>
      <c r="NL2" s="235"/>
      <c r="NM2" s="235"/>
      <c r="NN2" s="235"/>
      <c r="NO2" s="235"/>
      <c r="NP2" s="235"/>
      <c r="NQ2" s="235"/>
      <c r="NR2" s="235"/>
      <c r="NS2" s="235"/>
      <c r="NT2" s="235"/>
      <c r="NU2" s="235"/>
      <c r="NV2" s="235"/>
      <c r="NW2" s="235"/>
      <c r="NX2" s="235"/>
      <c r="NY2" s="235"/>
      <c r="NZ2" s="235"/>
      <c r="OA2" s="235"/>
      <c r="OB2" s="235"/>
      <c r="OC2" s="235"/>
      <c r="OD2" s="235"/>
      <c r="OE2" s="235"/>
      <c r="OF2" s="235"/>
      <c r="OG2" s="235"/>
      <c r="OH2" s="235"/>
      <c r="OI2" s="235"/>
      <c r="OJ2" s="235"/>
      <c r="OK2" s="235"/>
      <c r="OL2" s="235"/>
      <c r="OM2" s="235"/>
      <c r="ON2" s="235"/>
      <c r="OO2" s="235"/>
      <c r="OP2" s="235"/>
      <c r="OQ2" s="235"/>
      <c r="OR2" s="235"/>
      <c r="OS2" s="235"/>
      <c r="OT2" s="235"/>
      <c r="OU2" s="235"/>
      <c r="OV2" s="235"/>
      <c r="OW2" s="235"/>
      <c r="OX2" s="235"/>
      <c r="OY2" s="235"/>
      <c r="OZ2" s="235"/>
      <c r="PA2" s="235"/>
      <c r="PB2" s="235"/>
      <c r="PC2" s="235"/>
      <c r="PD2" s="235"/>
      <c r="PE2" s="235"/>
      <c r="PF2" s="235"/>
      <c r="PG2" s="235"/>
      <c r="PH2" s="235"/>
      <c r="PI2" s="235"/>
      <c r="PJ2" s="235"/>
      <c r="PK2" s="235"/>
      <c r="PL2" s="235"/>
      <c r="PM2" s="235"/>
      <c r="PN2" s="235"/>
      <c r="PO2" s="235"/>
      <c r="PP2" s="235"/>
      <c r="PQ2" s="235"/>
      <c r="PR2" s="235"/>
      <c r="PS2" s="235"/>
      <c r="PT2" s="235"/>
      <c r="PU2" s="235"/>
      <c r="PV2" s="235"/>
      <c r="PW2" s="235"/>
      <c r="PX2" s="235"/>
      <c r="PY2" s="235"/>
      <c r="PZ2" s="235"/>
      <c r="QA2" s="235"/>
      <c r="QB2" s="235"/>
      <c r="QC2" s="235"/>
      <c r="QD2" s="235"/>
      <c r="QE2" s="235"/>
      <c r="QF2" s="235"/>
      <c r="QG2" s="235"/>
      <c r="QH2" s="235"/>
      <c r="QI2" s="235"/>
      <c r="QJ2" s="235"/>
      <c r="QK2" s="235"/>
      <c r="QL2" s="235"/>
      <c r="QM2" s="235"/>
      <c r="QN2" s="235"/>
      <c r="QO2" s="235"/>
      <c r="QP2" s="235"/>
      <c r="QQ2" s="235"/>
      <c r="QR2" s="235"/>
      <c r="QS2" s="235"/>
      <c r="QT2" s="235"/>
      <c r="QU2" s="235"/>
      <c r="QV2" s="235"/>
      <c r="QW2" s="235"/>
      <c r="QX2" s="235"/>
      <c r="QY2" s="235"/>
      <c r="QZ2" s="235"/>
      <c r="RA2" s="235"/>
      <c r="RB2" s="235"/>
      <c r="RC2" s="235"/>
      <c r="RD2" s="235"/>
      <c r="RE2" s="235"/>
      <c r="RF2" s="235"/>
      <c r="RG2" s="235"/>
      <c r="RH2" s="235"/>
      <c r="RI2" s="235"/>
      <c r="RJ2" s="235"/>
      <c r="RK2" s="235"/>
      <c r="RL2" s="235"/>
      <c r="RM2" s="235"/>
      <c r="RN2" s="235"/>
      <c r="RO2" s="235"/>
      <c r="RP2" s="235"/>
      <c r="RQ2" s="235"/>
      <c r="RR2" s="235"/>
      <c r="RS2" s="235"/>
      <c r="RT2" s="235"/>
      <c r="RU2" s="235"/>
      <c r="RV2" s="235"/>
      <c r="RW2" s="235"/>
      <c r="RX2" s="235"/>
      <c r="RY2" s="235"/>
      <c r="RZ2" s="235"/>
      <c r="SA2" s="235"/>
      <c r="SB2" s="235"/>
      <c r="SC2" s="235"/>
      <c r="SD2" s="235"/>
      <c r="SE2" s="235"/>
      <c r="SF2" s="235"/>
      <c r="SG2" s="235"/>
      <c r="SH2" s="235"/>
      <c r="SI2" s="235"/>
      <c r="SJ2" s="235"/>
      <c r="SK2" s="235"/>
      <c r="SL2" s="235"/>
      <c r="SM2" s="235"/>
      <c r="SN2" s="235"/>
      <c r="SO2" s="235"/>
      <c r="SP2" s="235"/>
      <c r="SQ2" s="235"/>
      <c r="SR2" s="235"/>
      <c r="SS2" s="235"/>
      <c r="ST2" s="235"/>
      <c r="SU2" s="235"/>
      <c r="SV2" s="235"/>
      <c r="SW2" s="235"/>
      <c r="SX2" s="235"/>
      <c r="SY2" s="235"/>
      <c r="SZ2" s="235"/>
      <c r="TA2" s="235"/>
      <c r="TB2" s="235"/>
      <c r="TC2" s="235"/>
      <c r="TD2" s="235"/>
      <c r="TE2" s="235"/>
      <c r="TF2" s="235"/>
      <c r="TG2" s="235"/>
      <c r="TH2" s="235"/>
      <c r="TI2" s="235"/>
      <c r="TJ2" s="235"/>
      <c r="TK2" s="235"/>
      <c r="TL2" s="235"/>
      <c r="TM2" s="235"/>
      <c r="TN2" s="235"/>
      <c r="TO2" s="235"/>
      <c r="TP2" s="235"/>
      <c r="TQ2" s="235"/>
      <c r="TR2" s="235"/>
      <c r="TS2" s="235"/>
      <c r="TT2" s="235"/>
      <c r="TU2" s="235"/>
      <c r="TV2" s="235"/>
      <c r="TW2" s="235"/>
      <c r="TX2" s="235"/>
      <c r="TY2" s="235"/>
      <c r="TZ2" s="235"/>
      <c r="UA2" s="235"/>
      <c r="UB2" s="235"/>
      <c r="UC2" s="235"/>
      <c r="UD2" s="235"/>
      <c r="UE2" s="235"/>
      <c r="UF2" s="235"/>
      <c r="UG2" s="235"/>
      <c r="UH2" s="235"/>
      <c r="UI2" s="235"/>
      <c r="UJ2" s="235"/>
      <c r="UK2" s="235"/>
      <c r="UL2" s="235"/>
      <c r="UM2" s="235"/>
      <c r="UN2" s="235"/>
      <c r="UO2" s="235"/>
      <c r="UP2" s="235"/>
      <c r="UQ2" s="235"/>
      <c r="UR2" s="235"/>
      <c r="US2" s="235"/>
      <c r="UT2" s="235"/>
      <c r="UU2" s="235"/>
      <c r="UV2" s="235"/>
      <c r="UW2" s="235"/>
      <c r="UX2" s="235"/>
      <c r="UY2" s="235"/>
      <c r="UZ2" s="235"/>
      <c r="VA2" s="235"/>
      <c r="VB2" s="235"/>
      <c r="VC2" s="235"/>
      <c r="VD2" s="235"/>
      <c r="VE2" s="235"/>
      <c r="VF2" s="235"/>
      <c r="VG2" s="235"/>
      <c r="VH2" s="235"/>
      <c r="VI2" s="235"/>
      <c r="VJ2" s="235"/>
      <c r="VK2" s="235"/>
      <c r="VL2" s="235"/>
      <c r="VM2" s="235"/>
      <c r="VN2" s="235"/>
      <c r="VO2" s="235"/>
      <c r="VP2" s="235"/>
      <c r="VQ2" s="235"/>
      <c r="VR2" s="235"/>
      <c r="VS2" s="235"/>
      <c r="VT2" s="235"/>
      <c r="VU2" s="235"/>
      <c r="VV2" s="235"/>
      <c r="VW2" s="235"/>
      <c r="VX2" s="235"/>
      <c r="VY2" s="235"/>
      <c r="VZ2" s="235"/>
      <c r="WA2" s="235"/>
      <c r="WB2" s="235"/>
      <c r="WC2" s="235"/>
      <c r="WD2" s="235"/>
      <c r="WE2" s="235"/>
      <c r="WF2" s="235"/>
      <c r="WG2" s="235"/>
      <c r="WH2" s="235"/>
      <c r="WI2" s="235"/>
      <c r="WJ2" s="235"/>
      <c r="WK2" s="235"/>
      <c r="WL2" s="235"/>
      <c r="WM2" s="235"/>
      <c r="WN2" s="235"/>
      <c r="WO2" s="235"/>
      <c r="WP2" s="235"/>
      <c r="WQ2" s="235"/>
      <c r="WR2" s="235"/>
      <c r="WS2" s="235"/>
      <c r="WT2" s="235"/>
      <c r="WU2" s="235"/>
      <c r="WV2" s="235"/>
      <c r="WW2" s="235"/>
      <c r="WX2" s="235"/>
      <c r="WY2" s="235"/>
      <c r="WZ2" s="235"/>
      <c r="XA2" s="235"/>
      <c r="XB2" s="235"/>
      <c r="XC2" s="235"/>
      <c r="XD2" s="235"/>
      <c r="XE2" s="235"/>
      <c r="XF2" s="235"/>
      <c r="XG2" s="235"/>
      <c r="XH2" s="235"/>
      <c r="XI2" s="235"/>
      <c r="XJ2" s="235"/>
      <c r="XK2" s="235"/>
      <c r="XL2" s="235"/>
      <c r="XM2" s="235"/>
      <c r="XN2" s="235"/>
      <c r="XO2" s="235"/>
      <c r="XP2" s="235"/>
      <c r="XQ2" s="235"/>
      <c r="XR2" s="235"/>
      <c r="XS2" s="235"/>
      <c r="XT2" s="235"/>
      <c r="XU2" s="235"/>
      <c r="XV2" s="235"/>
      <c r="XW2" s="235"/>
      <c r="XX2" s="235"/>
      <c r="XY2" s="235"/>
      <c r="XZ2" s="235"/>
      <c r="YA2" s="235"/>
      <c r="YB2" s="235"/>
      <c r="YC2" s="235"/>
      <c r="YD2" s="235"/>
      <c r="YE2" s="235"/>
      <c r="YF2" s="235"/>
      <c r="YG2" s="235"/>
      <c r="YH2" s="235"/>
      <c r="YI2" s="235"/>
      <c r="YJ2" s="235"/>
      <c r="YK2" s="235"/>
      <c r="YL2" s="235"/>
      <c r="YM2" s="235"/>
      <c r="YN2" s="235"/>
      <c r="YO2" s="235"/>
      <c r="YP2" s="235"/>
      <c r="YQ2" s="235"/>
      <c r="YR2" s="235"/>
      <c r="YS2" s="235"/>
      <c r="YT2" s="235"/>
      <c r="YU2" s="235"/>
      <c r="YV2" s="235"/>
      <c r="YW2" s="235"/>
      <c r="YX2" s="235"/>
      <c r="YY2" s="235"/>
      <c r="YZ2" s="235"/>
      <c r="ZA2" s="235"/>
      <c r="ZB2" s="235"/>
      <c r="ZC2" s="235"/>
      <c r="ZD2" s="235"/>
      <c r="ZE2" s="235"/>
      <c r="ZF2" s="235"/>
      <c r="ZG2" s="235"/>
      <c r="ZH2" s="235"/>
      <c r="ZI2" s="235"/>
      <c r="ZJ2" s="235"/>
      <c r="ZK2" s="235"/>
      <c r="ZL2" s="235"/>
      <c r="ZM2" s="235"/>
      <c r="ZN2" s="235"/>
      <c r="ZO2" s="235"/>
      <c r="ZP2" s="235"/>
      <c r="ZQ2" s="235"/>
      <c r="ZR2" s="235"/>
      <c r="ZS2" s="235"/>
      <c r="ZT2" s="235"/>
      <c r="ZU2" s="235"/>
      <c r="ZV2" s="235"/>
      <c r="ZW2" s="235"/>
      <c r="ZX2" s="235"/>
      <c r="ZY2" s="235"/>
      <c r="ZZ2" s="235"/>
      <c r="AAA2" s="235"/>
      <c r="AAB2" s="235"/>
      <c r="AAC2" s="235"/>
      <c r="AAD2" s="235"/>
      <c r="AAE2" s="235"/>
      <c r="AAF2" s="235"/>
      <c r="AAG2" s="235"/>
      <c r="AAH2" s="235"/>
      <c r="AAI2" s="235"/>
      <c r="AAJ2" s="235"/>
      <c r="AAK2" s="235"/>
      <c r="AAL2" s="235"/>
      <c r="AAM2" s="235"/>
      <c r="AAN2" s="235"/>
      <c r="AAO2" s="235"/>
      <c r="AAP2" s="235"/>
      <c r="AAQ2" s="235"/>
      <c r="AAR2" s="235"/>
      <c r="AAS2" s="235"/>
      <c r="AAT2" s="235"/>
      <c r="AAU2" s="235"/>
      <c r="AAV2" s="235"/>
      <c r="AAW2" s="235"/>
      <c r="AAX2" s="235"/>
      <c r="AAY2" s="235"/>
      <c r="AAZ2" s="235"/>
      <c r="ABA2" s="235"/>
      <c r="ABB2" s="235"/>
      <c r="ABC2" s="235"/>
      <c r="ABD2" s="235"/>
      <c r="ABE2" s="235"/>
      <c r="ABF2" s="235"/>
      <c r="ABG2" s="235"/>
      <c r="ABH2" s="235"/>
      <c r="ABI2" s="235"/>
      <c r="ABJ2" s="235"/>
      <c r="ABK2" s="235"/>
      <c r="ABL2" s="235"/>
      <c r="ABM2" s="235"/>
      <c r="ABN2" s="235"/>
      <c r="ABO2" s="235"/>
      <c r="ABP2" s="235"/>
      <c r="ABQ2" s="235"/>
      <c r="ABR2" s="235"/>
      <c r="ABS2" s="235"/>
      <c r="ABT2" s="235"/>
      <c r="ABU2" s="235"/>
      <c r="ABV2" s="235"/>
      <c r="ABW2" s="235"/>
      <c r="ABX2" s="235"/>
      <c r="ABY2" s="235"/>
      <c r="ABZ2" s="235"/>
      <c r="ACA2" s="235"/>
      <c r="ACB2" s="235"/>
      <c r="ACC2" s="235"/>
      <c r="ACD2" s="235"/>
      <c r="ACE2" s="235"/>
      <c r="ACF2" s="235"/>
      <c r="ACG2" s="235"/>
      <c r="ACH2" s="235"/>
      <c r="ACI2" s="235"/>
      <c r="ACJ2" s="235"/>
      <c r="ACK2" s="235"/>
      <c r="ACL2" s="235"/>
      <c r="ACM2" s="235"/>
      <c r="ACN2" s="235"/>
      <c r="ACO2" s="235"/>
      <c r="ACP2" s="235"/>
      <c r="ACQ2" s="235"/>
      <c r="ACR2" s="235"/>
      <c r="ACS2" s="235"/>
      <c r="ACT2" s="235"/>
      <c r="ACU2" s="235"/>
      <c r="ACV2" s="235"/>
      <c r="ACW2" s="235"/>
      <c r="ACX2" s="235"/>
      <c r="ACY2" s="235"/>
      <c r="ACZ2" s="235"/>
      <c r="ADA2" s="235"/>
      <c r="ADB2" s="235"/>
      <c r="ADC2" s="235"/>
      <c r="ADD2" s="235"/>
      <c r="ADE2" s="235"/>
      <c r="ADF2" s="235"/>
      <c r="ADG2" s="235"/>
      <c r="ADH2" s="235"/>
      <c r="ADI2" s="235"/>
      <c r="ADJ2" s="235"/>
      <c r="ADK2" s="235"/>
      <c r="ADL2" s="235"/>
      <c r="ADM2" s="235"/>
      <c r="ADN2" s="235"/>
      <c r="ADO2" s="235"/>
      <c r="ADP2" s="235"/>
      <c r="ADQ2" s="235"/>
      <c r="ADR2" s="235"/>
      <c r="ADS2" s="235"/>
      <c r="ADT2" s="235"/>
      <c r="ADU2" s="235"/>
      <c r="ADV2" s="235"/>
      <c r="ADW2" s="235"/>
      <c r="ADX2" s="235"/>
      <c r="ADY2" s="235"/>
      <c r="ADZ2" s="235"/>
      <c r="AEA2" s="235"/>
      <c r="AEB2" s="235"/>
      <c r="AEC2" s="235"/>
      <c r="AED2" s="235"/>
      <c r="AEE2" s="235"/>
      <c r="AEF2" s="235"/>
      <c r="AEG2" s="235"/>
      <c r="AEH2" s="235"/>
      <c r="AEI2" s="235"/>
      <c r="AEJ2" s="235"/>
      <c r="AEK2" s="235"/>
      <c r="AEL2" s="235"/>
      <c r="AEM2" s="235"/>
      <c r="AEN2" s="235"/>
      <c r="AEO2" s="235"/>
      <c r="AEP2" s="235"/>
      <c r="AEQ2" s="235"/>
      <c r="AER2" s="235"/>
      <c r="AES2" s="235"/>
      <c r="AET2" s="235"/>
      <c r="AEU2" s="235"/>
      <c r="AEV2" s="235"/>
      <c r="AEW2" s="235"/>
      <c r="AEX2" s="235"/>
      <c r="AEY2" s="235"/>
      <c r="AEZ2" s="235"/>
      <c r="AFA2" s="235"/>
      <c r="AFB2" s="235"/>
      <c r="AFC2" s="235"/>
      <c r="AFD2" s="235"/>
      <c r="AFE2" s="235"/>
      <c r="AFF2" s="235"/>
      <c r="AFG2" s="235"/>
      <c r="AFH2" s="235"/>
      <c r="AFI2" s="235"/>
      <c r="AFJ2" s="235"/>
      <c r="AFK2" s="235"/>
      <c r="AFL2" s="235"/>
      <c r="AFM2" s="235"/>
      <c r="AFN2" s="235"/>
      <c r="AFO2" s="235"/>
      <c r="AFP2" s="235"/>
      <c r="AFQ2" s="235"/>
      <c r="AFR2" s="235"/>
      <c r="AFS2" s="235"/>
      <c r="AFT2" s="235"/>
      <c r="AFU2" s="235"/>
      <c r="AFV2" s="235"/>
      <c r="AFW2" s="235"/>
      <c r="AFX2" s="235"/>
      <c r="AFY2" s="235"/>
      <c r="AFZ2" s="235"/>
      <c r="AGA2" s="235"/>
      <c r="AGB2" s="235"/>
      <c r="AGC2" s="235"/>
      <c r="AGD2" s="235"/>
      <c r="AGE2" s="235"/>
      <c r="AGF2" s="235"/>
      <c r="AGG2" s="235"/>
      <c r="AGH2" s="235"/>
      <c r="AGI2" s="235"/>
      <c r="AGJ2" s="235"/>
      <c r="AGK2" s="235"/>
      <c r="AGL2" s="235"/>
      <c r="AGM2" s="235"/>
      <c r="AGN2" s="235"/>
      <c r="AGO2" s="235"/>
      <c r="AGP2" s="235"/>
      <c r="AGQ2" s="235"/>
      <c r="AGR2" s="235"/>
      <c r="AGS2" s="235"/>
      <c r="AGT2" s="235"/>
      <c r="AGU2" s="235"/>
      <c r="AGV2" s="235"/>
      <c r="AGW2" s="235"/>
      <c r="AGX2" s="235"/>
      <c r="AGY2" s="235"/>
      <c r="AGZ2" s="235"/>
      <c r="AHA2" s="235"/>
      <c r="AHB2" s="235"/>
      <c r="AHC2" s="235"/>
      <c r="AHD2" s="235"/>
      <c r="AHE2" s="235"/>
      <c r="AHF2" s="235"/>
      <c r="AHG2" s="235"/>
      <c r="AHH2" s="235"/>
      <c r="AHI2" s="235"/>
      <c r="AHJ2" s="235"/>
      <c r="AHK2" s="235"/>
      <c r="AHL2" s="235"/>
      <c r="AHM2" s="235"/>
      <c r="AHN2" s="235"/>
      <c r="AHO2" s="235"/>
      <c r="AHP2" s="235"/>
      <c r="AHQ2" s="235"/>
      <c r="AHR2" s="235"/>
      <c r="AHS2" s="235"/>
      <c r="AHT2" s="235"/>
      <c r="AHU2" s="235"/>
      <c r="AHV2" s="235"/>
      <c r="AHW2" s="235"/>
      <c r="AHX2" s="235"/>
      <c r="AHY2" s="235"/>
      <c r="AHZ2" s="235"/>
      <c r="AIA2" s="235"/>
      <c r="AIB2" s="235"/>
      <c r="AIC2" s="235"/>
      <c r="AID2" s="235"/>
      <c r="AIE2" s="235"/>
      <c r="AIF2" s="235"/>
      <c r="AIG2" s="235"/>
      <c r="AIH2" s="235"/>
      <c r="AII2" s="235"/>
      <c r="AIJ2" s="235"/>
      <c r="AIK2" s="235"/>
      <c r="AIL2" s="235"/>
      <c r="AIM2" s="235"/>
      <c r="AIN2" s="235"/>
      <c r="AIO2" s="235"/>
      <c r="AIP2" s="235"/>
      <c r="AIQ2" s="235"/>
      <c r="AIR2" s="235"/>
      <c r="AIS2" s="235"/>
      <c r="AIT2" s="235"/>
      <c r="AIU2" s="235"/>
      <c r="AIV2" s="235"/>
      <c r="AIW2" s="235"/>
      <c r="AIX2" s="235"/>
      <c r="AIY2" s="235"/>
      <c r="AIZ2" s="235"/>
      <c r="AJA2" s="235"/>
      <c r="AJB2" s="235"/>
      <c r="AJC2" s="235"/>
      <c r="AJD2" s="235"/>
      <c r="AJE2" s="235"/>
      <c r="AJF2" s="235"/>
      <c r="AJG2" s="235"/>
      <c r="AJH2" s="235"/>
      <c r="AJI2" s="235"/>
      <c r="AJJ2" s="235"/>
      <c r="AJK2" s="235"/>
      <c r="AJL2" s="235"/>
      <c r="AJM2" s="235"/>
      <c r="AJN2" s="235"/>
      <c r="AJO2" s="235"/>
      <c r="AJP2" s="235"/>
      <c r="AJQ2" s="235"/>
      <c r="AJR2" s="235"/>
      <c r="AJS2" s="235"/>
      <c r="AJT2" s="235"/>
      <c r="AJU2" s="235"/>
      <c r="AJV2" s="235"/>
      <c r="AJW2" s="235"/>
      <c r="AJX2" s="235"/>
      <c r="AJY2" s="235"/>
      <c r="AJZ2" s="235"/>
      <c r="AKA2" s="235"/>
      <c r="AKB2" s="235"/>
      <c r="AKC2" s="235"/>
      <c r="AKD2" s="235"/>
      <c r="AKE2" s="235"/>
      <c r="AKF2" s="235"/>
      <c r="AKG2" s="235"/>
      <c r="AKH2" s="235"/>
      <c r="AKI2" s="235"/>
      <c r="AKJ2" s="235"/>
      <c r="AKK2" s="235"/>
      <c r="AKL2" s="235"/>
      <c r="AKM2" s="235"/>
      <c r="AKN2" s="235"/>
      <c r="AKO2" s="235"/>
      <c r="AKP2" s="235"/>
      <c r="AKQ2" s="235"/>
      <c r="AKR2" s="235"/>
      <c r="AKS2" s="235"/>
      <c r="AKT2" s="235"/>
      <c r="AKU2" s="235"/>
      <c r="AKV2" s="235"/>
      <c r="AKW2" s="235"/>
      <c r="AKX2" s="235"/>
      <c r="AKY2" s="235"/>
      <c r="AKZ2" s="235"/>
      <c r="ALA2" s="235"/>
      <c r="ALB2" s="235"/>
      <c r="ALC2" s="235"/>
      <c r="ALD2" s="235"/>
      <c r="ALE2" s="235"/>
      <c r="ALF2" s="235"/>
      <c r="ALG2" s="235"/>
      <c r="ALH2" s="235"/>
      <c r="ALI2" s="235"/>
      <c r="ALJ2" s="235"/>
      <c r="ALK2" s="235"/>
      <c r="ALL2" s="235"/>
      <c r="ALM2" s="235"/>
      <c r="ALN2" s="235"/>
      <c r="ALO2" s="235"/>
      <c r="ALP2" s="235"/>
      <c r="ALQ2" s="235"/>
      <c r="ALR2" s="235"/>
      <c r="ALS2" s="235"/>
      <c r="ALT2" s="235"/>
      <c r="ALU2" s="235"/>
      <c r="ALV2" s="235"/>
      <c r="ALW2" s="235"/>
      <c r="ALX2" s="235"/>
      <c r="ALY2" s="235"/>
      <c r="ALZ2" s="235"/>
      <c r="AMA2" s="235"/>
      <c r="AMB2" s="235"/>
      <c r="AMC2" s="235"/>
      <c r="AMD2" s="235"/>
      <c r="AME2" s="235"/>
      <c r="AMF2" s="235"/>
      <c r="AMG2" s="235"/>
      <c r="AMH2" s="235"/>
      <c r="AMI2" s="235"/>
      <c r="AMJ2" s="235"/>
      <c r="AMK2" s="235"/>
      <c r="AML2" s="235"/>
      <c r="AMM2" s="235"/>
      <c r="AMN2" s="235"/>
      <c r="AMO2" s="235"/>
      <c r="AMP2" s="235"/>
      <c r="AMQ2" s="235"/>
      <c r="AMR2" s="235"/>
      <c r="AMS2" s="235"/>
      <c r="AMT2" s="235"/>
      <c r="AMU2" s="235"/>
      <c r="AMV2" s="235"/>
      <c r="AMW2" s="235"/>
      <c r="AMX2" s="235"/>
      <c r="AMY2" s="235"/>
      <c r="AMZ2" s="235"/>
      <c r="ANA2" s="235"/>
      <c r="ANB2" s="235"/>
      <c r="ANC2" s="235"/>
      <c r="AND2" s="235"/>
      <c r="ANE2" s="235"/>
      <c r="ANF2" s="235"/>
      <c r="ANG2" s="235"/>
      <c r="ANH2" s="235"/>
      <c r="ANI2" s="235"/>
      <c r="ANJ2" s="235"/>
      <c r="ANK2" s="235"/>
      <c r="ANL2" s="235"/>
      <c r="ANM2" s="235"/>
      <c r="ANN2" s="235"/>
      <c r="ANO2" s="235"/>
      <c r="ANP2" s="235"/>
      <c r="ANQ2" s="235"/>
      <c r="ANR2" s="235"/>
      <c r="ANS2" s="235"/>
      <c r="ANT2" s="235"/>
      <c r="ANU2" s="235"/>
      <c r="ANV2" s="235"/>
      <c r="ANW2" s="235"/>
      <c r="ANX2" s="235"/>
      <c r="ANY2" s="235"/>
      <c r="ANZ2" s="235"/>
      <c r="AOA2" s="235"/>
      <c r="AOB2" s="235"/>
      <c r="AOC2" s="235"/>
      <c r="AOD2" s="235"/>
      <c r="AOE2" s="235"/>
      <c r="AOF2" s="235"/>
      <c r="AOG2" s="235"/>
      <c r="AOH2" s="235"/>
      <c r="AOI2" s="235"/>
      <c r="AOJ2" s="235"/>
      <c r="AOK2" s="235"/>
      <c r="AOL2" s="235"/>
      <c r="AOM2" s="235"/>
      <c r="AON2" s="235"/>
      <c r="AOO2" s="235"/>
      <c r="AOP2" s="235"/>
      <c r="AOQ2" s="235"/>
      <c r="AOR2" s="235"/>
      <c r="AOS2" s="235"/>
      <c r="AOT2" s="235"/>
      <c r="AOU2" s="235"/>
      <c r="AOV2" s="235"/>
      <c r="AOW2" s="235"/>
      <c r="AOX2" s="235"/>
      <c r="AOY2" s="235"/>
      <c r="AOZ2" s="235"/>
      <c r="APA2" s="235"/>
      <c r="APB2" s="235"/>
      <c r="APC2" s="235"/>
      <c r="APD2" s="235"/>
      <c r="APE2" s="235"/>
      <c r="APF2" s="235"/>
      <c r="APG2" s="235"/>
      <c r="APH2" s="235"/>
      <c r="API2" s="235"/>
      <c r="APJ2" s="235"/>
      <c r="APK2" s="235"/>
      <c r="APL2" s="235"/>
      <c r="APM2" s="235"/>
      <c r="APN2" s="235"/>
      <c r="APO2" s="235"/>
      <c r="APP2" s="235"/>
      <c r="APQ2" s="235"/>
      <c r="APR2" s="235"/>
      <c r="APS2" s="235"/>
      <c r="APT2" s="235"/>
      <c r="APU2" s="235"/>
      <c r="APV2" s="235"/>
      <c r="APW2" s="235"/>
      <c r="APX2" s="235"/>
      <c r="APY2" s="235"/>
      <c r="APZ2" s="235"/>
      <c r="AQA2" s="235"/>
      <c r="AQB2" s="235"/>
      <c r="AQC2" s="235"/>
      <c r="AQD2" s="235"/>
      <c r="AQE2" s="235"/>
      <c r="AQF2" s="235"/>
      <c r="AQG2" s="235"/>
      <c r="AQH2" s="235"/>
      <c r="AQI2" s="235"/>
      <c r="AQJ2" s="235"/>
      <c r="AQK2" s="235"/>
      <c r="AQL2" s="235"/>
      <c r="AQM2" s="235"/>
      <c r="AQN2" s="235"/>
      <c r="AQO2" s="235"/>
      <c r="AQP2" s="235"/>
      <c r="AQQ2" s="235"/>
      <c r="AQR2" s="235"/>
      <c r="AQS2" s="235"/>
      <c r="AQT2" s="235"/>
      <c r="AQU2" s="235"/>
      <c r="AQV2" s="235"/>
      <c r="AQW2" s="235"/>
      <c r="AQX2" s="235"/>
      <c r="AQY2" s="235"/>
      <c r="AQZ2" s="235"/>
      <c r="ARA2" s="235"/>
      <c r="ARB2" s="235"/>
      <c r="ARC2" s="235"/>
      <c r="ARD2" s="235"/>
      <c r="ARE2" s="235"/>
      <c r="ARF2" s="235"/>
      <c r="ARG2" s="235"/>
      <c r="ARH2" s="235"/>
      <c r="ARI2" s="235"/>
      <c r="ARJ2" s="235"/>
      <c r="ARK2" s="235"/>
      <c r="ARL2" s="235"/>
      <c r="ARM2" s="235"/>
      <c r="ARN2" s="235"/>
      <c r="ARO2" s="235"/>
      <c r="ARP2" s="235"/>
      <c r="ARQ2" s="235"/>
      <c r="ARR2" s="235"/>
      <c r="ARS2" s="235"/>
      <c r="ART2" s="235"/>
      <c r="ARU2" s="235"/>
      <c r="ARV2" s="235"/>
      <c r="ARW2" s="235"/>
      <c r="ARX2" s="235"/>
      <c r="ARY2" s="235"/>
      <c r="ARZ2" s="235"/>
      <c r="ASA2" s="235"/>
      <c r="ASB2" s="235"/>
      <c r="ASC2" s="235"/>
      <c r="ASD2" s="235"/>
      <c r="ASE2" s="235"/>
      <c r="ASF2" s="235"/>
      <c r="ASG2" s="235"/>
      <c r="ASH2" s="235"/>
      <c r="ASI2" s="235"/>
      <c r="ASJ2" s="235"/>
      <c r="ASK2" s="235"/>
      <c r="ASL2" s="235"/>
      <c r="ASM2" s="235"/>
      <c r="ASN2" s="235"/>
      <c r="ASO2" s="235"/>
      <c r="ASP2" s="235"/>
      <c r="ASQ2" s="235"/>
      <c r="ASR2" s="235"/>
      <c r="ASS2" s="235"/>
      <c r="AST2" s="235"/>
      <c r="ASU2" s="235"/>
      <c r="ASV2" s="235"/>
      <c r="ASW2" s="235"/>
      <c r="ASX2" s="235"/>
      <c r="ASY2" s="235"/>
      <c r="ASZ2" s="235"/>
      <c r="ATA2" s="235"/>
      <c r="ATB2" s="235"/>
      <c r="ATC2" s="235"/>
      <c r="ATD2" s="235"/>
      <c r="ATE2" s="235"/>
      <c r="ATF2" s="235"/>
      <c r="ATG2" s="235"/>
      <c r="ATH2" s="235"/>
      <c r="ATI2" s="235"/>
      <c r="ATJ2" s="235"/>
      <c r="ATK2" s="235"/>
      <c r="ATL2" s="235"/>
      <c r="ATM2" s="235"/>
      <c r="ATN2" s="235"/>
      <c r="ATO2" s="235"/>
      <c r="ATP2" s="235"/>
      <c r="ATQ2" s="235"/>
      <c r="ATR2" s="235"/>
      <c r="ATS2" s="235"/>
      <c r="ATT2" s="235"/>
      <c r="ATU2" s="235"/>
      <c r="ATV2" s="235"/>
      <c r="ATW2" s="235"/>
      <c r="ATX2" s="235"/>
      <c r="ATY2" s="235"/>
      <c r="ATZ2" s="235"/>
      <c r="AUA2" s="235"/>
      <c r="AUB2" s="235"/>
      <c r="AUC2" s="235"/>
      <c r="AUD2" s="235"/>
      <c r="AUE2" s="235"/>
      <c r="AUF2" s="235"/>
      <c r="AUG2" s="235"/>
      <c r="AUH2" s="235"/>
      <c r="AUI2" s="235"/>
      <c r="AUJ2" s="235"/>
      <c r="AUK2" s="235"/>
      <c r="AUL2" s="235"/>
      <c r="AUM2" s="235"/>
      <c r="AUN2" s="235"/>
      <c r="AUO2" s="235"/>
      <c r="AUP2" s="235"/>
      <c r="AUQ2" s="235"/>
      <c r="AUR2" s="235"/>
      <c r="AUS2" s="235"/>
      <c r="AUT2" s="235"/>
      <c r="AUU2" s="235"/>
      <c r="AUV2" s="235"/>
      <c r="AUW2" s="235"/>
      <c r="AUX2" s="235"/>
      <c r="AUY2" s="235"/>
      <c r="AUZ2" s="235"/>
      <c r="AVA2" s="235"/>
      <c r="AVB2" s="235"/>
      <c r="AVC2" s="235"/>
      <c r="AVD2" s="235"/>
      <c r="AVE2" s="235"/>
      <c r="AVF2" s="235"/>
      <c r="AVG2" s="235"/>
      <c r="AVH2" s="235"/>
      <c r="AVI2" s="235"/>
      <c r="AVJ2" s="235"/>
      <c r="AVK2" s="235"/>
      <c r="AVL2" s="235"/>
      <c r="AVM2" s="235"/>
      <c r="AVN2" s="235"/>
      <c r="AVO2" s="235"/>
      <c r="AVP2" s="235"/>
      <c r="AVQ2" s="235"/>
      <c r="AVR2" s="235"/>
      <c r="AVS2" s="235"/>
      <c r="AVT2" s="235"/>
      <c r="AVU2" s="235"/>
      <c r="AVV2" s="235"/>
      <c r="AVW2" s="235"/>
      <c r="AVX2" s="235"/>
      <c r="AVY2" s="235"/>
      <c r="AVZ2" s="235"/>
      <c r="AWA2" s="235"/>
      <c r="AWB2" s="235"/>
      <c r="AWC2" s="235"/>
      <c r="AWD2" s="235"/>
      <c r="AWE2" s="235"/>
      <c r="AWF2" s="235"/>
      <c r="AWG2" s="235"/>
      <c r="AWH2" s="235"/>
      <c r="AWI2" s="235"/>
      <c r="AWJ2" s="235"/>
      <c r="AWK2" s="235"/>
      <c r="AWL2" s="235"/>
      <c r="AWM2" s="235"/>
      <c r="AWN2" s="235"/>
      <c r="AWO2" s="235"/>
      <c r="AWP2" s="235"/>
      <c r="AWQ2" s="235"/>
      <c r="AWR2" s="235"/>
      <c r="AWS2" s="235"/>
      <c r="AWT2" s="235"/>
      <c r="AWU2" s="235"/>
      <c r="AWV2" s="235"/>
      <c r="AWW2" s="235"/>
      <c r="AWX2" s="235"/>
      <c r="AWY2" s="235"/>
      <c r="AWZ2" s="235"/>
      <c r="AXA2" s="235"/>
      <c r="AXB2" s="235"/>
      <c r="AXC2" s="235"/>
      <c r="AXD2" s="235"/>
      <c r="AXE2" s="235"/>
      <c r="AXF2" s="235"/>
      <c r="AXG2" s="235"/>
      <c r="AXH2" s="235"/>
      <c r="AXI2" s="235"/>
      <c r="AXJ2" s="235"/>
      <c r="AXK2" s="235"/>
      <c r="AXL2" s="235"/>
      <c r="AXM2" s="235"/>
      <c r="AXN2" s="235"/>
      <c r="AXO2" s="235"/>
      <c r="AXP2" s="235"/>
      <c r="AXQ2" s="235"/>
      <c r="AXR2" s="235"/>
      <c r="AXS2" s="235"/>
      <c r="AXT2" s="235"/>
      <c r="AXU2" s="235"/>
      <c r="AXV2" s="235"/>
      <c r="AXW2" s="235"/>
      <c r="AXX2" s="235"/>
      <c r="AXY2" s="235"/>
      <c r="AXZ2" s="235"/>
      <c r="AYA2" s="235"/>
      <c r="AYB2" s="235"/>
      <c r="AYC2" s="235"/>
      <c r="AYD2" s="235"/>
      <c r="AYE2" s="235"/>
      <c r="AYF2" s="235"/>
      <c r="AYG2" s="235"/>
      <c r="AYH2" s="235"/>
      <c r="AYI2" s="235"/>
      <c r="AYJ2" s="235"/>
      <c r="AYK2" s="235"/>
      <c r="AYL2" s="235"/>
      <c r="AYM2" s="235"/>
      <c r="AYN2" s="235"/>
      <c r="AYO2" s="235"/>
      <c r="AYP2" s="235"/>
      <c r="AYQ2" s="235"/>
      <c r="AYR2" s="235"/>
      <c r="AYS2" s="235"/>
      <c r="AYT2" s="235"/>
      <c r="AYU2" s="235"/>
      <c r="AYV2" s="235"/>
      <c r="AYW2" s="235"/>
      <c r="AYX2" s="235"/>
      <c r="AYY2" s="235"/>
      <c r="AYZ2" s="235"/>
      <c r="AZA2" s="235"/>
      <c r="AZB2" s="235"/>
      <c r="AZC2" s="235"/>
      <c r="AZD2" s="235"/>
      <c r="AZE2" s="235"/>
      <c r="AZF2" s="235"/>
      <c r="AZG2" s="235"/>
      <c r="AZH2" s="235"/>
      <c r="AZI2" s="235"/>
      <c r="AZJ2" s="235"/>
      <c r="AZK2" s="235"/>
      <c r="AZL2" s="235"/>
      <c r="AZM2" s="235"/>
      <c r="AZN2" s="235"/>
      <c r="AZO2" s="235"/>
      <c r="AZP2" s="235"/>
      <c r="AZQ2" s="235"/>
      <c r="AZR2" s="235"/>
      <c r="AZS2" s="235"/>
      <c r="AZT2" s="235"/>
      <c r="AZU2" s="235"/>
      <c r="AZV2" s="235"/>
      <c r="AZW2" s="235"/>
      <c r="AZX2" s="235"/>
      <c r="AZY2" s="235"/>
      <c r="AZZ2" s="235"/>
      <c r="BAA2" s="235"/>
      <c r="BAB2" s="235"/>
      <c r="BAC2" s="235"/>
      <c r="BAD2" s="235"/>
      <c r="BAE2" s="235"/>
      <c r="BAF2" s="235"/>
      <c r="BAG2" s="235"/>
      <c r="BAH2" s="235"/>
      <c r="BAI2" s="235"/>
      <c r="BAJ2" s="235"/>
      <c r="BAK2" s="235"/>
      <c r="BAL2" s="235"/>
      <c r="BAM2" s="235"/>
      <c r="BAN2" s="235"/>
      <c r="BAO2" s="235"/>
      <c r="BAP2" s="235"/>
      <c r="BAQ2" s="235"/>
      <c r="BAR2" s="235"/>
      <c r="BAS2" s="235"/>
      <c r="BAT2" s="235"/>
      <c r="BAU2" s="235"/>
      <c r="BAV2" s="235"/>
      <c r="BAW2" s="235"/>
      <c r="BAX2" s="235"/>
      <c r="BAY2" s="235"/>
      <c r="BAZ2" s="235"/>
      <c r="BBA2" s="235"/>
      <c r="BBB2" s="235"/>
      <c r="BBC2" s="235"/>
      <c r="BBD2" s="235"/>
      <c r="BBE2" s="235"/>
      <c r="BBF2" s="235"/>
      <c r="BBG2" s="235"/>
      <c r="BBH2" s="235"/>
      <c r="BBI2" s="235"/>
      <c r="BBJ2" s="235"/>
      <c r="BBK2" s="235"/>
      <c r="BBL2" s="235"/>
      <c r="BBM2" s="235"/>
      <c r="BBN2" s="235"/>
      <c r="BBO2" s="235"/>
      <c r="BBP2" s="235"/>
      <c r="BBQ2" s="235"/>
      <c r="BBR2" s="235"/>
      <c r="BBS2" s="235"/>
      <c r="BBT2" s="235"/>
      <c r="BBU2" s="235"/>
      <c r="BBV2" s="235"/>
      <c r="BBW2" s="235"/>
      <c r="BBX2" s="235"/>
      <c r="BBY2" s="235"/>
      <c r="BBZ2" s="235"/>
      <c r="BCA2" s="235"/>
      <c r="BCB2" s="235"/>
      <c r="BCC2" s="235"/>
      <c r="BCD2" s="235"/>
      <c r="BCE2" s="235"/>
      <c r="BCF2" s="235"/>
      <c r="BCG2" s="235"/>
      <c r="BCH2" s="235"/>
      <c r="BCI2" s="235"/>
      <c r="BCJ2" s="235"/>
      <c r="BCK2" s="235"/>
      <c r="BCL2" s="235"/>
      <c r="BCM2" s="235"/>
      <c r="BCN2" s="235"/>
      <c r="BCO2" s="235"/>
      <c r="BCP2" s="235"/>
      <c r="BCQ2" s="235"/>
      <c r="BCR2" s="235"/>
      <c r="BCS2" s="235"/>
      <c r="BCT2" s="235"/>
      <c r="BCU2" s="235"/>
      <c r="BCV2" s="235"/>
      <c r="BCW2" s="235"/>
      <c r="BCX2" s="235"/>
      <c r="BCY2" s="235"/>
      <c r="BCZ2" s="235"/>
      <c r="BDA2" s="235"/>
      <c r="BDB2" s="235"/>
      <c r="BDC2" s="235"/>
      <c r="BDD2" s="235"/>
      <c r="BDE2" s="235"/>
      <c r="BDF2" s="235"/>
      <c r="BDG2" s="235"/>
      <c r="BDH2" s="235"/>
      <c r="BDI2" s="235"/>
      <c r="BDJ2" s="235"/>
      <c r="BDK2" s="235"/>
      <c r="BDL2" s="235"/>
      <c r="BDM2" s="235"/>
      <c r="BDN2" s="235"/>
      <c r="BDO2" s="235"/>
      <c r="BDP2" s="235"/>
      <c r="BDQ2" s="235"/>
      <c r="BDR2" s="235"/>
      <c r="BDS2" s="235"/>
      <c r="BDT2" s="235"/>
      <c r="BDU2" s="235"/>
      <c r="BDV2" s="235"/>
      <c r="BDW2" s="235"/>
      <c r="BDX2" s="235"/>
      <c r="BDY2" s="235"/>
      <c r="BDZ2" s="235"/>
      <c r="BEA2" s="235"/>
      <c r="BEB2" s="235"/>
      <c r="BEC2" s="235"/>
      <c r="BED2" s="235"/>
      <c r="BEE2" s="235"/>
      <c r="BEF2" s="235"/>
      <c r="BEG2" s="235"/>
      <c r="BEH2" s="235"/>
      <c r="BEI2" s="235"/>
      <c r="BEJ2" s="235"/>
      <c r="BEK2" s="235"/>
      <c r="BEL2" s="235"/>
      <c r="BEM2" s="235"/>
      <c r="BEN2" s="235"/>
      <c r="BEO2" s="235"/>
      <c r="BEP2" s="235"/>
      <c r="BEQ2" s="235"/>
      <c r="BER2" s="235"/>
      <c r="BES2" s="235"/>
      <c r="BET2" s="235"/>
      <c r="BEU2" s="235"/>
      <c r="BEV2" s="235"/>
      <c r="BEW2" s="235"/>
      <c r="BEX2" s="235"/>
      <c r="BEY2" s="235"/>
      <c r="BEZ2" s="235"/>
      <c r="BFA2" s="235"/>
      <c r="BFB2" s="235"/>
      <c r="BFC2" s="235"/>
      <c r="BFD2" s="235"/>
      <c r="BFE2" s="235"/>
      <c r="BFF2" s="235"/>
      <c r="BFG2" s="235"/>
      <c r="BFH2" s="235"/>
      <c r="BFI2" s="235"/>
      <c r="BFJ2" s="235"/>
      <c r="BFK2" s="235"/>
      <c r="BFL2" s="235"/>
      <c r="BFM2" s="235"/>
      <c r="BFN2" s="235"/>
      <c r="BFO2" s="235"/>
      <c r="BFP2" s="235"/>
      <c r="BFQ2" s="235"/>
      <c r="BFR2" s="235"/>
      <c r="BFS2" s="235"/>
      <c r="BFT2" s="235"/>
      <c r="BFU2" s="235"/>
      <c r="BFV2" s="235"/>
      <c r="BFW2" s="235"/>
      <c r="BFX2" s="235"/>
      <c r="BFY2" s="235"/>
      <c r="BFZ2" s="235"/>
      <c r="BGA2" s="235"/>
      <c r="BGB2" s="235"/>
      <c r="BGC2" s="235"/>
      <c r="BGD2" s="235"/>
      <c r="BGE2" s="235"/>
      <c r="BGF2" s="235"/>
      <c r="BGG2" s="235"/>
      <c r="BGH2" s="235"/>
      <c r="BGI2" s="235"/>
      <c r="BGJ2" s="235"/>
      <c r="BGK2" s="235"/>
      <c r="BGL2" s="235"/>
      <c r="BGM2" s="235"/>
      <c r="BGN2" s="235"/>
      <c r="BGO2" s="235"/>
      <c r="BGP2" s="235"/>
      <c r="BGQ2" s="235"/>
      <c r="BGR2" s="235"/>
      <c r="BGS2" s="235"/>
      <c r="BGT2" s="235"/>
      <c r="BGU2" s="235"/>
      <c r="BGV2" s="235"/>
      <c r="BGW2" s="235"/>
      <c r="BGX2" s="235"/>
      <c r="BGY2" s="235"/>
      <c r="BGZ2" s="235"/>
      <c r="BHA2" s="235"/>
      <c r="BHB2" s="235"/>
      <c r="BHC2" s="235"/>
      <c r="BHD2" s="235"/>
      <c r="BHE2" s="235"/>
      <c r="BHF2" s="235"/>
      <c r="BHG2" s="235"/>
      <c r="BHH2" s="235"/>
      <c r="BHI2" s="235"/>
      <c r="BHJ2" s="235"/>
      <c r="BHK2" s="235"/>
      <c r="BHL2" s="235"/>
      <c r="BHM2" s="235"/>
      <c r="BHN2" s="235"/>
      <c r="BHO2" s="235"/>
      <c r="BHP2" s="235"/>
      <c r="BHQ2" s="235"/>
      <c r="BHR2" s="235"/>
      <c r="BHS2" s="235"/>
      <c r="BHT2" s="235"/>
      <c r="BHU2" s="235"/>
      <c r="BHV2" s="235"/>
      <c r="BHW2" s="235"/>
      <c r="BHX2" s="235"/>
      <c r="BHY2" s="235"/>
      <c r="BHZ2" s="235"/>
      <c r="BIA2" s="235"/>
      <c r="BIB2" s="235"/>
      <c r="BIC2" s="235"/>
      <c r="BID2" s="235"/>
      <c r="BIE2" s="235"/>
      <c r="BIF2" s="235"/>
      <c r="BIG2" s="235"/>
      <c r="BIH2" s="235"/>
      <c r="BII2" s="235"/>
      <c r="BIJ2" s="235"/>
      <c r="BIK2" s="235"/>
      <c r="BIL2" s="235"/>
      <c r="BIM2" s="235"/>
      <c r="BIN2" s="235"/>
      <c r="BIO2" s="235"/>
      <c r="BIP2" s="235"/>
      <c r="BIQ2" s="235"/>
      <c r="BIR2" s="235"/>
      <c r="BIS2" s="235"/>
      <c r="BIT2" s="235"/>
      <c r="BIU2" s="235"/>
      <c r="BIV2" s="235"/>
      <c r="BIW2" s="235"/>
      <c r="BIX2" s="235"/>
      <c r="BIY2" s="235"/>
      <c r="BIZ2" s="235"/>
      <c r="BJA2" s="235"/>
      <c r="BJB2" s="235"/>
      <c r="BJC2" s="235"/>
      <c r="BJD2" s="235"/>
      <c r="BJE2" s="235"/>
      <c r="BJF2" s="235"/>
      <c r="BJG2" s="235"/>
      <c r="BJH2" s="235"/>
      <c r="BJI2" s="235"/>
      <c r="BJJ2" s="235"/>
      <c r="BJK2" s="235"/>
      <c r="BJL2" s="235"/>
      <c r="BJM2" s="235"/>
      <c r="BJN2" s="235"/>
      <c r="BJO2" s="235"/>
      <c r="BJP2" s="235"/>
      <c r="BJQ2" s="235"/>
      <c r="BJR2" s="235"/>
      <c r="BJS2" s="235"/>
      <c r="BJT2" s="235"/>
      <c r="BJU2" s="235"/>
      <c r="BJV2" s="235"/>
      <c r="BJW2" s="235"/>
      <c r="BJX2" s="235"/>
      <c r="BJY2" s="235"/>
      <c r="BJZ2" s="235"/>
      <c r="BKA2" s="235"/>
      <c r="BKB2" s="235"/>
      <c r="BKC2" s="235"/>
      <c r="BKD2" s="235"/>
      <c r="BKE2" s="235"/>
      <c r="BKF2" s="235"/>
      <c r="BKG2" s="235"/>
      <c r="BKH2" s="235"/>
      <c r="BKI2" s="235"/>
      <c r="BKJ2" s="235"/>
      <c r="BKK2" s="235"/>
      <c r="BKL2" s="235"/>
      <c r="BKM2" s="235"/>
      <c r="BKN2" s="235"/>
      <c r="BKO2" s="235"/>
      <c r="BKP2" s="235"/>
      <c r="BKQ2" s="235"/>
      <c r="BKR2" s="235"/>
      <c r="BKS2" s="235"/>
      <c r="BKT2" s="235"/>
      <c r="BKU2" s="235"/>
      <c r="BKV2" s="235"/>
      <c r="BKW2" s="235"/>
      <c r="BKX2" s="235"/>
      <c r="BKY2" s="235"/>
      <c r="BKZ2" s="235"/>
      <c r="BLA2" s="235"/>
      <c r="BLB2" s="235"/>
      <c r="BLC2" s="235"/>
      <c r="BLD2" s="235"/>
      <c r="BLE2" s="235"/>
      <c r="BLF2" s="235"/>
      <c r="BLG2" s="235"/>
      <c r="BLH2" s="235"/>
      <c r="BLI2" s="235"/>
      <c r="BLJ2" s="235"/>
      <c r="BLK2" s="235"/>
      <c r="BLL2" s="235"/>
      <c r="BLM2" s="235"/>
      <c r="BLN2" s="235"/>
      <c r="BLO2" s="235"/>
      <c r="BLP2" s="235"/>
      <c r="BLQ2" s="235"/>
      <c r="BLR2" s="235"/>
      <c r="BLS2" s="235"/>
      <c r="BLT2" s="235"/>
      <c r="BLU2" s="235"/>
      <c r="BLV2" s="235"/>
      <c r="BLW2" s="235"/>
      <c r="BLX2" s="235"/>
      <c r="BLY2" s="235"/>
      <c r="BLZ2" s="235"/>
      <c r="BMA2" s="235"/>
      <c r="BMB2" s="235"/>
      <c r="BMC2" s="235"/>
      <c r="BMD2" s="235"/>
      <c r="BME2" s="235"/>
      <c r="BMF2" s="235"/>
      <c r="BMG2" s="235"/>
      <c r="BMH2" s="235"/>
      <c r="BMI2" s="235"/>
      <c r="BMJ2" s="235"/>
      <c r="BMK2" s="235"/>
      <c r="BML2" s="235"/>
      <c r="BMM2" s="235"/>
      <c r="BMN2" s="235"/>
      <c r="BMO2" s="235"/>
      <c r="BMP2" s="235"/>
      <c r="BMQ2" s="235"/>
      <c r="BMR2" s="235"/>
      <c r="BMS2" s="235"/>
      <c r="BMT2" s="235"/>
      <c r="BMU2" s="235"/>
      <c r="BMV2" s="235"/>
      <c r="BMW2" s="235"/>
      <c r="BMX2" s="235"/>
      <c r="BMY2" s="235"/>
      <c r="BMZ2" s="235"/>
      <c r="BNA2" s="235"/>
      <c r="BNB2" s="235"/>
      <c r="BNC2" s="235"/>
      <c r="BND2" s="235"/>
      <c r="BNE2" s="235"/>
      <c r="BNF2" s="235"/>
      <c r="BNG2" s="235"/>
      <c r="BNH2" s="235"/>
      <c r="BNI2" s="235"/>
      <c r="BNJ2" s="235"/>
      <c r="BNK2" s="235"/>
      <c r="BNL2" s="235"/>
      <c r="BNM2" s="235"/>
      <c r="BNN2" s="235"/>
      <c r="BNO2" s="235"/>
      <c r="BNP2" s="235"/>
      <c r="BNQ2" s="235"/>
      <c r="BNR2" s="235"/>
      <c r="BNS2" s="235"/>
      <c r="BNT2" s="235"/>
      <c r="BNU2" s="235"/>
      <c r="BNV2" s="235"/>
      <c r="BNW2" s="235"/>
      <c r="BNX2" s="235"/>
      <c r="BNY2" s="235"/>
      <c r="BNZ2" s="235"/>
      <c r="BOA2" s="235"/>
      <c r="BOB2" s="235"/>
      <c r="BOC2" s="235"/>
      <c r="BOD2" s="235"/>
      <c r="BOE2" s="235"/>
      <c r="BOF2" s="235"/>
      <c r="BOG2" s="235"/>
      <c r="BOH2" s="235"/>
      <c r="BOI2" s="235"/>
      <c r="BOJ2" s="235"/>
      <c r="BOK2" s="235"/>
      <c r="BOL2" s="235"/>
      <c r="BOM2" s="235"/>
      <c r="BON2" s="235"/>
      <c r="BOO2" s="235"/>
      <c r="BOP2" s="235"/>
      <c r="BOQ2" s="235"/>
      <c r="BOR2" s="235"/>
      <c r="BOS2" s="235"/>
      <c r="BOT2" s="235"/>
      <c r="BOU2" s="235"/>
      <c r="BOV2" s="235"/>
      <c r="BOW2" s="235"/>
      <c r="BOX2" s="235"/>
      <c r="BOY2" s="235"/>
      <c r="BOZ2" s="235"/>
      <c r="BPA2" s="235"/>
      <c r="BPB2" s="235"/>
      <c r="BPC2" s="235"/>
      <c r="BPD2" s="235"/>
      <c r="BPE2" s="235"/>
      <c r="BPF2" s="235"/>
      <c r="BPG2" s="235"/>
      <c r="BPH2" s="235"/>
      <c r="BPI2" s="235"/>
      <c r="BPJ2" s="235"/>
      <c r="BPK2" s="235"/>
      <c r="BPL2" s="235"/>
      <c r="BPM2" s="235"/>
      <c r="BPN2" s="235"/>
      <c r="BPO2" s="235"/>
      <c r="BPP2" s="235"/>
      <c r="BPQ2" s="235"/>
      <c r="BPR2" s="235"/>
      <c r="BPS2" s="235"/>
      <c r="BPT2" s="235"/>
      <c r="BPU2" s="235"/>
      <c r="BPV2" s="235"/>
      <c r="BPW2" s="235"/>
      <c r="BPX2" s="235"/>
      <c r="BPY2" s="235"/>
      <c r="BPZ2" s="235"/>
      <c r="BQA2" s="235"/>
      <c r="BQB2" s="235"/>
      <c r="BQC2" s="235"/>
      <c r="BQD2" s="235"/>
      <c r="BQE2" s="235"/>
      <c r="BQF2" s="235"/>
      <c r="BQG2" s="235"/>
      <c r="BQH2" s="235"/>
      <c r="BQI2" s="235"/>
      <c r="BQJ2" s="235"/>
      <c r="BQK2" s="235"/>
      <c r="BQL2" s="235"/>
      <c r="BQM2" s="235"/>
      <c r="BQN2" s="235"/>
      <c r="BQO2" s="235"/>
      <c r="BQP2" s="235"/>
      <c r="BQQ2" s="235"/>
      <c r="BQR2" s="235"/>
      <c r="BQS2" s="235"/>
      <c r="BQT2" s="235"/>
      <c r="BQU2" s="235"/>
      <c r="BQV2" s="235"/>
      <c r="BQW2" s="235"/>
      <c r="BQX2" s="235"/>
      <c r="BQY2" s="235"/>
      <c r="BQZ2" s="235"/>
      <c r="BRA2" s="235"/>
      <c r="BRB2" s="235"/>
      <c r="BRC2" s="235"/>
      <c r="BRD2" s="235"/>
      <c r="BRE2" s="235"/>
      <c r="BRF2" s="235"/>
      <c r="BRG2" s="235"/>
      <c r="BRH2" s="235"/>
      <c r="BRI2" s="235"/>
      <c r="BRJ2" s="235"/>
      <c r="BRK2" s="235"/>
      <c r="BRL2" s="235"/>
      <c r="BRM2" s="235"/>
      <c r="BRN2" s="235"/>
      <c r="BRO2" s="235"/>
      <c r="BRP2" s="235"/>
      <c r="BRQ2" s="235"/>
      <c r="BRR2" s="235"/>
      <c r="BRS2" s="235"/>
      <c r="BRT2" s="235"/>
      <c r="BRU2" s="235"/>
      <c r="BRV2" s="235"/>
      <c r="BRW2" s="235"/>
      <c r="BRX2" s="235"/>
      <c r="BRY2" s="235"/>
      <c r="BRZ2" s="235"/>
      <c r="BSA2" s="235"/>
      <c r="BSB2" s="235"/>
      <c r="BSC2" s="235"/>
      <c r="BSD2" s="235"/>
      <c r="BSE2" s="235"/>
      <c r="BSF2" s="235"/>
      <c r="BSG2" s="235"/>
      <c r="BSH2" s="235"/>
      <c r="BSI2" s="235"/>
      <c r="BSJ2" s="235"/>
      <c r="BSK2" s="235"/>
      <c r="BSL2" s="235"/>
      <c r="BSM2" s="235"/>
      <c r="BSN2" s="235"/>
      <c r="BSO2" s="235"/>
      <c r="BSP2" s="235"/>
      <c r="BSQ2" s="235"/>
      <c r="BSR2" s="235"/>
      <c r="BSS2" s="235"/>
      <c r="BST2" s="235"/>
      <c r="BSU2" s="235"/>
      <c r="BSV2" s="235"/>
      <c r="BSW2" s="235"/>
      <c r="BSX2" s="235"/>
      <c r="BSY2" s="235"/>
      <c r="BSZ2" s="235"/>
      <c r="BTA2" s="235"/>
      <c r="BTB2" s="235"/>
      <c r="BTC2" s="235"/>
      <c r="BTD2" s="235"/>
      <c r="BTE2" s="235"/>
      <c r="BTF2" s="235"/>
      <c r="BTG2" s="235"/>
      <c r="BTH2" s="235"/>
      <c r="BTI2" s="235"/>
      <c r="BTJ2" s="235"/>
      <c r="BTK2" s="235"/>
      <c r="BTL2" s="235"/>
      <c r="BTM2" s="235"/>
      <c r="BTN2" s="235"/>
      <c r="BTO2" s="235"/>
      <c r="BTP2" s="235"/>
      <c r="BTQ2" s="235"/>
      <c r="BTR2" s="235"/>
      <c r="BTS2" s="235"/>
      <c r="BTT2" s="235"/>
      <c r="BTU2" s="235"/>
      <c r="BTV2" s="235"/>
      <c r="BTW2" s="235"/>
      <c r="BTX2" s="235"/>
      <c r="BTY2" s="235"/>
      <c r="BTZ2" s="235"/>
      <c r="BUA2" s="235"/>
      <c r="BUB2" s="235"/>
      <c r="BUC2" s="235"/>
      <c r="BUD2" s="235"/>
      <c r="BUE2" s="235"/>
      <c r="BUF2" s="235"/>
      <c r="BUG2" s="235"/>
      <c r="BUH2" s="235"/>
      <c r="BUI2" s="235"/>
      <c r="BUJ2" s="235"/>
      <c r="BUK2" s="235"/>
      <c r="BUL2" s="235"/>
      <c r="BUM2" s="235"/>
      <c r="BUN2" s="235"/>
      <c r="BUO2" s="235"/>
      <c r="BUP2" s="235"/>
      <c r="BUQ2" s="235"/>
      <c r="BUR2" s="235"/>
      <c r="BUS2" s="235"/>
      <c r="BUT2" s="235"/>
      <c r="BUU2" s="235"/>
      <c r="BUV2" s="235"/>
      <c r="BUW2" s="235"/>
      <c r="BUX2" s="235"/>
      <c r="BUY2" s="235"/>
      <c r="BUZ2" s="235"/>
      <c r="BVA2" s="235"/>
      <c r="BVB2" s="235"/>
      <c r="BVC2" s="235"/>
      <c r="BVD2" s="235"/>
      <c r="BVE2" s="235"/>
      <c r="BVF2" s="235"/>
      <c r="BVG2" s="235"/>
      <c r="BVH2" s="235"/>
      <c r="BVI2" s="235"/>
      <c r="BVJ2" s="235"/>
      <c r="BVK2" s="235"/>
      <c r="BVL2" s="235"/>
      <c r="BVM2" s="235"/>
      <c r="BVN2" s="235"/>
      <c r="BVO2" s="235"/>
      <c r="BVP2" s="235"/>
      <c r="BVQ2" s="235"/>
      <c r="BVR2" s="235"/>
      <c r="BVS2" s="235"/>
      <c r="BVT2" s="235"/>
      <c r="BVU2" s="235"/>
      <c r="BVV2" s="235"/>
      <c r="BVW2" s="235"/>
      <c r="BVX2" s="235"/>
      <c r="BVY2" s="235"/>
      <c r="BVZ2" s="235"/>
      <c r="BWA2" s="235"/>
      <c r="BWB2" s="235"/>
      <c r="BWC2" s="235"/>
      <c r="BWD2" s="235"/>
      <c r="BWE2" s="235"/>
      <c r="BWF2" s="235"/>
      <c r="BWG2" s="235"/>
      <c r="BWH2" s="235"/>
      <c r="BWI2" s="235"/>
      <c r="BWJ2" s="235"/>
      <c r="BWK2" s="235"/>
      <c r="BWL2" s="235"/>
      <c r="BWM2" s="235"/>
      <c r="BWN2" s="235"/>
      <c r="BWO2" s="235"/>
      <c r="BWP2" s="235"/>
      <c r="BWQ2" s="235"/>
      <c r="BWR2" s="235"/>
      <c r="BWS2" s="235"/>
      <c r="BWT2" s="235"/>
      <c r="BWU2" s="235"/>
      <c r="BWV2" s="235"/>
      <c r="BWW2" s="235"/>
      <c r="BWX2" s="235"/>
      <c r="BWY2" s="235"/>
      <c r="BWZ2" s="235"/>
      <c r="BXA2" s="235"/>
      <c r="BXB2" s="235"/>
      <c r="BXC2" s="235"/>
      <c r="BXD2" s="235"/>
      <c r="BXE2" s="235"/>
      <c r="BXF2" s="235"/>
      <c r="BXG2" s="235"/>
      <c r="BXH2" s="235"/>
      <c r="BXI2" s="235"/>
      <c r="BXJ2" s="235"/>
      <c r="BXK2" s="235"/>
      <c r="BXL2" s="235"/>
      <c r="BXM2" s="235"/>
      <c r="BXN2" s="235"/>
      <c r="BXO2" s="235"/>
      <c r="BXP2" s="235"/>
      <c r="BXQ2" s="235"/>
      <c r="BXR2" s="235"/>
      <c r="BXS2" s="235"/>
      <c r="BXT2" s="235"/>
      <c r="BXU2" s="235"/>
      <c r="BXV2" s="235"/>
      <c r="BXW2" s="235"/>
      <c r="BXX2" s="235"/>
      <c r="BXY2" s="235"/>
      <c r="BXZ2" s="235"/>
      <c r="BYA2" s="235"/>
      <c r="BYB2" s="235"/>
      <c r="BYC2" s="235"/>
      <c r="BYD2" s="235"/>
      <c r="BYE2" s="235"/>
      <c r="BYF2" s="235"/>
      <c r="BYG2" s="235"/>
      <c r="BYH2" s="235"/>
      <c r="BYI2" s="235"/>
      <c r="BYJ2" s="235"/>
      <c r="BYK2" s="235"/>
      <c r="BYL2" s="235"/>
      <c r="BYM2" s="235"/>
      <c r="BYN2" s="235"/>
      <c r="BYO2" s="235"/>
      <c r="BYP2" s="235"/>
      <c r="BYQ2" s="235"/>
      <c r="BYR2" s="235"/>
      <c r="BYS2" s="235"/>
      <c r="BYT2" s="235"/>
      <c r="BYU2" s="235"/>
      <c r="BYV2" s="235"/>
      <c r="BYW2" s="235"/>
      <c r="BYX2" s="235"/>
      <c r="BYY2" s="235"/>
      <c r="BYZ2" s="235"/>
      <c r="BZA2" s="235"/>
      <c r="BZB2" s="235"/>
      <c r="BZC2" s="235"/>
      <c r="BZD2" s="235"/>
      <c r="BZE2" s="235"/>
      <c r="BZF2" s="235"/>
      <c r="BZG2" s="235"/>
      <c r="BZH2" s="235"/>
      <c r="BZI2" s="235"/>
      <c r="BZJ2" s="235"/>
      <c r="BZK2" s="235"/>
      <c r="BZL2" s="235"/>
      <c r="BZM2" s="235"/>
      <c r="BZN2" s="235"/>
      <c r="BZO2" s="235"/>
      <c r="BZP2" s="235"/>
      <c r="BZQ2" s="235"/>
      <c r="BZR2" s="235"/>
      <c r="BZS2" s="235"/>
      <c r="BZT2" s="235"/>
      <c r="BZU2" s="235"/>
      <c r="BZV2" s="235"/>
      <c r="BZW2" s="235"/>
      <c r="BZX2" s="235"/>
      <c r="BZY2" s="235"/>
      <c r="BZZ2" s="235"/>
      <c r="CAA2" s="235"/>
      <c r="CAB2" s="235"/>
      <c r="CAC2" s="235"/>
      <c r="CAD2" s="235"/>
      <c r="CAE2" s="235"/>
      <c r="CAF2" s="235"/>
      <c r="CAG2" s="235"/>
      <c r="CAH2" s="235"/>
      <c r="CAI2" s="235"/>
      <c r="CAJ2" s="235"/>
      <c r="CAK2" s="235"/>
      <c r="CAL2" s="235"/>
      <c r="CAM2" s="235"/>
      <c r="CAN2" s="235"/>
      <c r="CAO2" s="235"/>
      <c r="CAP2" s="235"/>
      <c r="CAQ2" s="235"/>
      <c r="CAR2" s="235"/>
      <c r="CAS2" s="235"/>
      <c r="CAT2" s="235"/>
      <c r="CAU2" s="235"/>
      <c r="CAV2" s="235"/>
      <c r="CAW2" s="235"/>
      <c r="CAX2" s="235"/>
      <c r="CAY2" s="235"/>
      <c r="CAZ2" s="235"/>
      <c r="CBA2" s="235"/>
      <c r="CBB2" s="235"/>
      <c r="CBC2" s="235"/>
      <c r="CBD2" s="235"/>
      <c r="CBE2" s="235"/>
      <c r="CBF2" s="235"/>
      <c r="CBG2" s="235"/>
      <c r="CBH2" s="235"/>
      <c r="CBI2" s="235"/>
      <c r="CBJ2" s="235"/>
      <c r="CBK2" s="235"/>
      <c r="CBL2" s="235"/>
      <c r="CBM2" s="235"/>
      <c r="CBN2" s="235"/>
      <c r="CBO2" s="235"/>
      <c r="CBP2" s="235"/>
      <c r="CBQ2" s="235"/>
      <c r="CBR2" s="235"/>
      <c r="CBS2" s="235"/>
      <c r="CBT2" s="235"/>
      <c r="CBU2" s="235"/>
      <c r="CBV2" s="235"/>
      <c r="CBW2" s="235"/>
      <c r="CBX2" s="235"/>
      <c r="CBY2" s="235"/>
      <c r="CBZ2" s="235"/>
      <c r="CCA2" s="235"/>
      <c r="CCB2" s="235"/>
      <c r="CCC2" s="235"/>
      <c r="CCD2" s="235"/>
      <c r="CCE2" s="235"/>
      <c r="CCF2" s="235"/>
      <c r="CCG2" s="235"/>
      <c r="CCH2" s="235"/>
      <c r="CCI2" s="235"/>
      <c r="CCJ2" s="235"/>
      <c r="CCK2" s="235"/>
      <c r="CCL2" s="235"/>
      <c r="CCM2" s="235"/>
      <c r="CCN2" s="235"/>
      <c r="CCO2" s="235"/>
      <c r="CCP2" s="235"/>
      <c r="CCQ2" s="235"/>
      <c r="CCR2" s="235"/>
      <c r="CCS2" s="235"/>
      <c r="CCT2" s="235"/>
      <c r="CCU2" s="235"/>
      <c r="CCV2" s="235"/>
      <c r="CCW2" s="235"/>
      <c r="CCX2" s="235"/>
      <c r="CCY2" s="235"/>
      <c r="CCZ2" s="235"/>
      <c r="CDA2" s="235"/>
      <c r="CDB2" s="235"/>
      <c r="CDC2" s="235"/>
      <c r="CDD2" s="235"/>
      <c r="CDE2" s="235"/>
      <c r="CDF2" s="235"/>
      <c r="CDG2" s="235"/>
      <c r="CDH2" s="235"/>
      <c r="CDI2" s="235"/>
      <c r="CDJ2" s="235"/>
      <c r="CDK2" s="235"/>
      <c r="CDL2" s="235"/>
      <c r="CDM2" s="235"/>
      <c r="CDN2" s="235"/>
      <c r="CDO2" s="235"/>
      <c r="CDP2" s="235"/>
      <c r="CDQ2" s="235"/>
      <c r="CDR2" s="235"/>
      <c r="CDS2" s="235"/>
      <c r="CDT2" s="235"/>
      <c r="CDU2" s="235"/>
      <c r="CDV2" s="235"/>
      <c r="CDW2" s="235"/>
      <c r="CDX2" s="235"/>
      <c r="CDY2" s="235"/>
      <c r="CDZ2" s="235"/>
      <c r="CEA2" s="235"/>
      <c r="CEB2" s="235"/>
      <c r="CEC2" s="235"/>
      <c r="CED2" s="235"/>
      <c r="CEE2" s="235"/>
      <c r="CEF2" s="235"/>
      <c r="CEG2" s="235"/>
      <c r="CEH2" s="235"/>
      <c r="CEI2" s="235"/>
      <c r="CEJ2" s="235"/>
      <c r="CEK2" s="235"/>
      <c r="CEL2" s="235"/>
      <c r="CEM2" s="235"/>
      <c r="CEN2" s="235"/>
      <c r="CEO2" s="235"/>
      <c r="CEP2" s="235"/>
      <c r="CEQ2" s="235"/>
      <c r="CER2" s="235"/>
      <c r="CES2" s="235"/>
      <c r="CET2" s="235"/>
      <c r="CEU2" s="235"/>
      <c r="CEV2" s="235"/>
      <c r="CEW2" s="235"/>
      <c r="CEX2" s="235"/>
      <c r="CEY2" s="235"/>
      <c r="CEZ2" s="235"/>
      <c r="CFA2" s="235"/>
      <c r="CFB2" s="235"/>
      <c r="CFC2" s="235"/>
      <c r="CFD2" s="235"/>
      <c r="CFE2" s="235"/>
      <c r="CFF2" s="235"/>
      <c r="CFG2" s="235"/>
      <c r="CFH2" s="235"/>
      <c r="CFI2" s="235"/>
      <c r="CFJ2" s="235"/>
      <c r="CFK2" s="235"/>
      <c r="CFL2" s="235"/>
      <c r="CFM2" s="235"/>
      <c r="CFN2" s="235"/>
      <c r="CFO2" s="235"/>
      <c r="CFP2" s="235"/>
      <c r="CFQ2" s="235"/>
      <c r="CFR2" s="235"/>
      <c r="CFS2" s="235"/>
      <c r="CFT2" s="235"/>
      <c r="CFU2" s="235"/>
      <c r="CFV2" s="235"/>
      <c r="CFW2" s="235"/>
      <c r="CFX2" s="235"/>
      <c r="CFY2" s="235"/>
      <c r="CFZ2" s="235"/>
      <c r="CGA2" s="235"/>
      <c r="CGB2" s="235"/>
      <c r="CGC2" s="235"/>
      <c r="CGD2" s="235"/>
      <c r="CGE2" s="235"/>
      <c r="CGF2" s="235"/>
      <c r="CGG2" s="235"/>
      <c r="CGH2" s="235"/>
      <c r="CGI2" s="235"/>
      <c r="CGJ2" s="235"/>
      <c r="CGK2" s="235"/>
      <c r="CGL2" s="235"/>
      <c r="CGM2" s="235"/>
      <c r="CGN2" s="235"/>
      <c r="CGO2" s="235"/>
      <c r="CGP2" s="235"/>
      <c r="CGQ2" s="235"/>
      <c r="CGR2" s="235"/>
      <c r="CGS2" s="235"/>
      <c r="CGT2" s="235"/>
      <c r="CGU2" s="235"/>
      <c r="CGV2" s="235"/>
      <c r="CGW2" s="235"/>
      <c r="CGX2" s="235"/>
      <c r="CGY2" s="235"/>
      <c r="CGZ2" s="235"/>
      <c r="CHA2" s="235"/>
      <c r="CHB2" s="235"/>
      <c r="CHC2" s="235"/>
      <c r="CHD2" s="235"/>
      <c r="CHE2" s="235"/>
      <c r="CHF2" s="235"/>
      <c r="CHG2" s="235"/>
      <c r="CHH2" s="235"/>
      <c r="CHI2" s="235"/>
      <c r="CHJ2" s="235"/>
      <c r="CHK2" s="235"/>
      <c r="CHL2" s="235"/>
      <c r="CHM2" s="235"/>
      <c r="CHN2" s="235"/>
      <c r="CHO2" s="235"/>
      <c r="CHP2" s="235"/>
      <c r="CHQ2" s="235"/>
      <c r="CHR2" s="235"/>
      <c r="CHS2" s="235"/>
      <c r="CHT2" s="235"/>
      <c r="CHU2" s="235"/>
      <c r="CHV2" s="235"/>
      <c r="CHW2" s="235"/>
      <c r="CHX2" s="235"/>
      <c r="CHY2" s="235"/>
      <c r="CHZ2" s="235"/>
      <c r="CIA2" s="235"/>
      <c r="CIB2" s="235"/>
      <c r="CIC2" s="235"/>
      <c r="CID2" s="235"/>
      <c r="CIE2" s="235"/>
      <c r="CIF2" s="235"/>
      <c r="CIG2" s="235"/>
      <c r="CIH2" s="235"/>
      <c r="CII2" s="235"/>
      <c r="CIJ2" s="235"/>
      <c r="CIK2" s="235"/>
      <c r="CIL2" s="235"/>
      <c r="CIM2" s="235"/>
      <c r="CIN2" s="235"/>
      <c r="CIO2" s="235"/>
      <c r="CIP2" s="235"/>
      <c r="CIQ2" s="235"/>
      <c r="CIR2" s="235"/>
      <c r="CIS2" s="235"/>
      <c r="CIT2" s="235"/>
      <c r="CIU2" s="235"/>
      <c r="CIV2" s="235"/>
      <c r="CIW2" s="235"/>
      <c r="CIX2" s="235"/>
      <c r="CIY2" s="235"/>
      <c r="CIZ2" s="235"/>
      <c r="CJA2" s="235"/>
      <c r="CJB2" s="235"/>
      <c r="CJC2" s="235"/>
      <c r="CJD2" s="235"/>
      <c r="CJE2" s="235"/>
      <c r="CJF2" s="235"/>
      <c r="CJG2" s="235"/>
      <c r="CJH2" s="235"/>
      <c r="CJI2" s="235"/>
      <c r="CJJ2" s="235"/>
      <c r="CJK2" s="235"/>
      <c r="CJL2" s="235"/>
      <c r="CJM2" s="235"/>
      <c r="CJN2" s="235"/>
      <c r="CJO2" s="235"/>
      <c r="CJP2" s="235"/>
      <c r="CJQ2" s="235"/>
      <c r="CJR2" s="235"/>
      <c r="CJS2" s="235"/>
      <c r="CJT2" s="235"/>
      <c r="CJU2" s="235"/>
      <c r="CJV2" s="235"/>
      <c r="CJW2" s="235"/>
      <c r="CJX2" s="235"/>
      <c r="CJY2" s="235"/>
      <c r="CJZ2" s="235"/>
      <c r="CKA2" s="235"/>
      <c r="CKB2" s="235"/>
      <c r="CKC2" s="235"/>
      <c r="CKD2" s="235"/>
      <c r="CKE2" s="235"/>
      <c r="CKF2" s="235"/>
      <c r="CKG2" s="235"/>
      <c r="CKH2" s="235"/>
      <c r="CKI2" s="235"/>
      <c r="CKJ2" s="235"/>
      <c r="CKK2" s="235"/>
      <c r="CKL2" s="235"/>
      <c r="CKM2" s="235"/>
      <c r="CKN2" s="235"/>
      <c r="CKO2" s="235"/>
      <c r="CKP2" s="235"/>
      <c r="CKQ2" s="235"/>
      <c r="CKR2" s="235"/>
      <c r="CKS2" s="235"/>
      <c r="CKT2" s="235"/>
      <c r="CKU2" s="235"/>
      <c r="CKV2" s="235"/>
      <c r="CKW2" s="235"/>
      <c r="CKX2" s="235"/>
      <c r="CKY2" s="235"/>
      <c r="CKZ2" s="235"/>
      <c r="CLA2" s="235"/>
      <c r="CLB2" s="235"/>
      <c r="CLC2" s="235"/>
      <c r="CLD2" s="235"/>
      <c r="CLE2" s="235"/>
      <c r="CLF2" s="235"/>
      <c r="CLG2" s="235"/>
      <c r="CLH2" s="235"/>
      <c r="CLI2" s="235"/>
      <c r="CLJ2" s="235"/>
      <c r="CLK2" s="235"/>
      <c r="CLL2" s="235"/>
      <c r="CLM2" s="235"/>
      <c r="CLN2" s="235"/>
      <c r="CLO2" s="235"/>
      <c r="CLP2" s="235"/>
      <c r="CLQ2" s="235"/>
      <c r="CLR2" s="235"/>
      <c r="CLS2" s="235"/>
      <c r="CLT2" s="235"/>
      <c r="CLU2" s="235"/>
      <c r="CLV2" s="235"/>
      <c r="CLW2" s="235"/>
      <c r="CLX2" s="235"/>
      <c r="CLY2" s="235"/>
      <c r="CLZ2" s="235"/>
      <c r="CMA2" s="235"/>
      <c r="CMB2" s="235"/>
      <c r="CMC2" s="235"/>
      <c r="CMD2" s="235"/>
      <c r="CME2" s="235"/>
      <c r="CMF2" s="235"/>
      <c r="CMG2" s="235"/>
      <c r="CMH2" s="235"/>
      <c r="CMI2" s="235"/>
      <c r="CMJ2" s="235"/>
      <c r="CMK2" s="235"/>
      <c r="CML2" s="235"/>
      <c r="CMM2" s="235"/>
      <c r="CMN2" s="235"/>
      <c r="CMO2" s="235"/>
      <c r="CMP2" s="235"/>
      <c r="CMQ2" s="235"/>
      <c r="CMR2" s="235"/>
      <c r="CMS2" s="235"/>
      <c r="CMT2" s="235"/>
      <c r="CMU2" s="235"/>
      <c r="CMV2" s="235"/>
      <c r="CMW2" s="235"/>
      <c r="CMX2" s="235"/>
      <c r="CMY2" s="235"/>
      <c r="CMZ2" s="235"/>
      <c r="CNA2" s="235"/>
      <c r="CNB2" s="235"/>
      <c r="CNC2" s="235"/>
      <c r="CND2" s="235"/>
      <c r="CNE2" s="235"/>
      <c r="CNF2" s="235"/>
      <c r="CNG2" s="235"/>
      <c r="CNH2" s="235"/>
      <c r="CNI2" s="235"/>
      <c r="CNJ2" s="235"/>
      <c r="CNK2" s="235"/>
      <c r="CNL2" s="235"/>
      <c r="CNM2" s="235"/>
      <c r="CNN2" s="235"/>
      <c r="CNO2" s="235"/>
      <c r="CNP2" s="235"/>
      <c r="CNQ2" s="235"/>
      <c r="CNR2" s="235"/>
      <c r="CNS2" s="235"/>
      <c r="CNT2" s="235"/>
      <c r="CNU2" s="235"/>
      <c r="CNV2" s="235"/>
      <c r="CNW2" s="235"/>
      <c r="CNX2" s="235"/>
      <c r="CNY2" s="235"/>
      <c r="CNZ2" s="235"/>
      <c r="COA2" s="235"/>
      <c r="COB2" s="235"/>
      <c r="COC2" s="235"/>
      <c r="COD2" s="235"/>
      <c r="COE2" s="235"/>
      <c r="COF2" s="235"/>
      <c r="COG2" s="235"/>
      <c r="COH2" s="235"/>
      <c r="COI2" s="235"/>
      <c r="COJ2" s="235"/>
      <c r="COK2" s="235"/>
      <c r="COL2" s="235"/>
      <c r="COM2" s="235"/>
      <c r="CON2" s="235"/>
      <c r="COO2" s="235"/>
      <c r="COP2" s="235"/>
      <c r="COQ2" s="235"/>
      <c r="COR2" s="235"/>
      <c r="COS2" s="235"/>
      <c r="COT2" s="235"/>
      <c r="COU2" s="235"/>
      <c r="COV2" s="235"/>
      <c r="COW2" s="235"/>
      <c r="COX2" s="235"/>
      <c r="COY2" s="235"/>
      <c r="COZ2" s="235"/>
      <c r="CPA2" s="235"/>
      <c r="CPB2" s="235"/>
      <c r="CPC2" s="235"/>
      <c r="CPD2" s="235"/>
      <c r="CPE2" s="235"/>
      <c r="CPF2" s="235"/>
      <c r="CPG2" s="235"/>
      <c r="CPH2" s="235"/>
      <c r="CPI2" s="235"/>
      <c r="CPJ2" s="235"/>
      <c r="CPK2" s="235"/>
      <c r="CPL2" s="235"/>
      <c r="CPM2" s="235"/>
      <c r="CPN2" s="235"/>
      <c r="CPO2" s="235"/>
      <c r="CPP2" s="235"/>
      <c r="CPQ2" s="235"/>
      <c r="CPR2" s="235"/>
      <c r="CPS2" s="235"/>
      <c r="CPT2" s="235"/>
      <c r="CPU2" s="235"/>
      <c r="CPV2" s="235"/>
      <c r="CPW2" s="235"/>
      <c r="CPX2" s="235"/>
      <c r="CPY2" s="235"/>
      <c r="CPZ2" s="235"/>
      <c r="CQA2" s="235"/>
      <c r="CQB2" s="235"/>
      <c r="CQC2" s="235"/>
      <c r="CQD2" s="235"/>
      <c r="CQE2" s="235"/>
      <c r="CQF2" s="235"/>
      <c r="CQG2" s="235"/>
      <c r="CQH2" s="235"/>
      <c r="CQI2" s="235"/>
      <c r="CQJ2" s="235"/>
      <c r="CQK2" s="235"/>
      <c r="CQL2" s="235"/>
      <c r="CQM2" s="235"/>
      <c r="CQN2" s="235"/>
      <c r="CQO2" s="235"/>
      <c r="CQP2" s="235"/>
      <c r="CQQ2" s="235"/>
      <c r="CQR2" s="235"/>
      <c r="CQS2" s="235"/>
      <c r="CQT2" s="235"/>
      <c r="CQU2" s="235"/>
      <c r="CQV2" s="235"/>
      <c r="CQW2" s="235"/>
      <c r="CQX2" s="235"/>
      <c r="CQY2" s="235"/>
      <c r="CQZ2" s="235"/>
      <c r="CRA2" s="235"/>
      <c r="CRB2" s="235"/>
      <c r="CRC2" s="235"/>
      <c r="CRD2" s="235"/>
      <c r="CRE2" s="235"/>
      <c r="CRF2" s="235"/>
      <c r="CRG2" s="235"/>
      <c r="CRH2" s="235"/>
      <c r="CRI2" s="235"/>
      <c r="CRJ2" s="235"/>
      <c r="CRK2" s="235"/>
      <c r="CRL2" s="235"/>
      <c r="CRM2" s="235"/>
      <c r="CRN2" s="235"/>
      <c r="CRO2" s="235"/>
      <c r="CRP2" s="235"/>
      <c r="CRQ2" s="235"/>
      <c r="CRR2" s="235"/>
      <c r="CRS2" s="235"/>
      <c r="CRT2" s="235"/>
      <c r="CRU2" s="235"/>
      <c r="CRV2" s="235"/>
      <c r="CRW2" s="235"/>
      <c r="CRX2" s="235"/>
      <c r="CRY2" s="235"/>
      <c r="CRZ2" s="235"/>
      <c r="CSA2" s="235"/>
      <c r="CSB2" s="235"/>
      <c r="CSC2" s="235"/>
      <c r="CSD2" s="235"/>
      <c r="CSE2" s="235"/>
      <c r="CSF2" s="235"/>
      <c r="CSG2" s="235"/>
      <c r="CSH2" s="235"/>
      <c r="CSI2" s="235"/>
      <c r="CSJ2" s="235"/>
      <c r="CSK2" s="235"/>
      <c r="CSL2" s="235"/>
      <c r="CSM2" s="235"/>
      <c r="CSN2" s="235"/>
      <c r="CSO2" s="235"/>
      <c r="CSP2" s="235"/>
      <c r="CSQ2" s="235"/>
      <c r="CSR2" s="235"/>
      <c r="CSS2" s="235"/>
      <c r="CST2" s="235"/>
      <c r="CSU2" s="235"/>
      <c r="CSV2" s="235"/>
      <c r="CSW2" s="235"/>
      <c r="CSX2" s="235"/>
      <c r="CSY2" s="235"/>
      <c r="CSZ2" s="235"/>
      <c r="CTA2" s="235"/>
      <c r="CTB2" s="235"/>
      <c r="CTC2" s="235"/>
      <c r="CTD2" s="235"/>
      <c r="CTE2" s="235"/>
      <c r="CTF2" s="235"/>
      <c r="CTG2" s="235"/>
      <c r="CTH2" s="235"/>
      <c r="CTI2" s="235"/>
      <c r="CTJ2" s="235"/>
      <c r="CTK2" s="235"/>
      <c r="CTL2" s="235"/>
      <c r="CTM2" s="235"/>
      <c r="CTN2" s="235"/>
      <c r="CTO2" s="235"/>
      <c r="CTP2" s="235"/>
      <c r="CTQ2" s="235"/>
      <c r="CTR2" s="235"/>
      <c r="CTS2" s="235"/>
      <c r="CTT2" s="235"/>
      <c r="CTU2" s="235"/>
      <c r="CTV2" s="235"/>
      <c r="CTW2" s="235"/>
      <c r="CTX2" s="235"/>
      <c r="CTY2" s="235"/>
      <c r="CTZ2" s="235"/>
      <c r="CUA2" s="235"/>
      <c r="CUB2" s="235"/>
      <c r="CUC2" s="235"/>
      <c r="CUD2" s="235"/>
      <c r="CUE2" s="235"/>
      <c r="CUF2" s="235"/>
      <c r="CUG2" s="235"/>
      <c r="CUH2" s="235"/>
      <c r="CUI2" s="235"/>
      <c r="CUJ2" s="235"/>
      <c r="CUK2" s="235"/>
      <c r="CUL2" s="235"/>
      <c r="CUM2" s="235"/>
      <c r="CUN2" s="235"/>
      <c r="CUO2" s="235"/>
      <c r="CUP2" s="235"/>
      <c r="CUQ2" s="235"/>
      <c r="CUR2" s="235"/>
      <c r="CUS2" s="235"/>
      <c r="CUT2" s="235"/>
      <c r="CUU2" s="235"/>
      <c r="CUV2" s="235"/>
      <c r="CUW2" s="235"/>
      <c r="CUX2" s="235"/>
      <c r="CUY2" s="235"/>
      <c r="CUZ2" s="235"/>
      <c r="CVA2" s="235"/>
      <c r="CVB2" s="235"/>
      <c r="CVC2" s="235"/>
      <c r="CVD2" s="235"/>
      <c r="CVE2" s="235"/>
      <c r="CVF2" s="235"/>
      <c r="CVG2" s="235"/>
      <c r="CVH2" s="235"/>
      <c r="CVI2" s="235"/>
      <c r="CVJ2" s="235"/>
      <c r="CVK2" s="235"/>
      <c r="CVL2" s="235"/>
      <c r="CVM2" s="235"/>
      <c r="CVN2" s="235"/>
      <c r="CVO2" s="235"/>
      <c r="CVP2" s="235"/>
      <c r="CVQ2" s="235"/>
      <c r="CVR2" s="235"/>
      <c r="CVS2" s="235"/>
      <c r="CVT2" s="235"/>
      <c r="CVU2" s="235"/>
      <c r="CVV2" s="235"/>
      <c r="CVW2" s="235"/>
      <c r="CVX2" s="235"/>
      <c r="CVY2" s="235"/>
      <c r="CVZ2" s="235"/>
      <c r="CWA2" s="235"/>
      <c r="CWB2" s="235"/>
      <c r="CWC2" s="235"/>
      <c r="CWD2" s="235"/>
      <c r="CWE2" s="235"/>
      <c r="CWF2" s="235"/>
      <c r="CWG2" s="235"/>
      <c r="CWH2" s="235"/>
      <c r="CWI2" s="235"/>
      <c r="CWJ2" s="235"/>
      <c r="CWK2" s="235"/>
      <c r="CWL2" s="235"/>
      <c r="CWM2" s="235"/>
      <c r="CWN2" s="235"/>
      <c r="CWO2" s="235"/>
      <c r="CWP2" s="235"/>
      <c r="CWQ2" s="235"/>
      <c r="CWR2" s="235"/>
      <c r="CWS2" s="235"/>
      <c r="CWT2" s="235"/>
      <c r="CWU2" s="235"/>
      <c r="CWV2" s="235"/>
      <c r="CWW2" s="235"/>
      <c r="CWX2" s="235"/>
      <c r="CWY2" s="235"/>
      <c r="CWZ2" s="235"/>
      <c r="CXA2" s="235"/>
      <c r="CXB2" s="235"/>
      <c r="CXC2" s="235"/>
      <c r="CXD2" s="235"/>
      <c r="CXE2" s="235"/>
      <c r="CXF2" s="235"/>
      <c r="CXG2" s="235"/>
      <c r="CXH2" s="235"/>
      <c r="CXI2" s="235"/>
      <c r="CXJ2" s="235"/>
      <c r="CXK2" s="235"/>
      <c r="CXL2" s="235"/>
      <c r="CXM2" s="235"/>
      <c r="CXN2" s="235"/>
      <c r="CXO2" s="235"/>
      <c r="CXP2" s="235"/>
      <c r="CXQ2" s="235"/>
      <c r="CXR2" s="235"/>
      <c r="CXS2" s="235"/>
      <c r="CXT2" s="235"/>
      <c r="CXU2" s="235"/>
      <c r="CXV2" s="235"/>
      <c r="CXW2" s="235"/>
      <c r="CXX2" s="235"/>
      <c r="CXY2" s="235"/>
      <c r="CXZ2" s="235"/>
      <c r="CYA2" s="235"/>
      <c r="CYB2" s="235"/>
      <c r="CYC2" s="235"/>
      <c r="CYD2" s="235"/>
      <c r="CYE2" s="235"/>
      <c r="CYF2" s="235"/>
      <c r="CYG2" s="235"/>
      <c r="CYH2" s="235"/>
      <c r="CYI2" s="235"/>
      <c r="CYJ2" s="235"/>
      <c r="CYK2" s="235"/>
      <c r="CYL2" s="235"/>
      <c r="CYM2" s="235"/>
      <c r="CYN2" s="235"/>
      <c r="CYO2" s="235"/>
      <c r="CYP2" s="235"/>
      <c r="CYQ2" s="235"/>
      <c r="CYR2" s="235"/>
      <c r="CYS2" s="235"/>
      <c r="CYT2" s="235"/>
      <c r="CYU2" s="235"/>
      <c r="CYV2" s="235"/>
      <c r="CYW2" s="235"/>
      <c r="CYX2" s="235"/>
      <c r="CYY2" s="235"/>
      <c r="CYZ2" s="235"/>
      <c r="CZA2" s="235"/>
      <c r="CZB2" s="235"/>
      <c r="CZC2" s="235"/>
      <c r="CZD2" s="235"/>
      <c r="CZE2" s="235"/>
      <c r="CZF2" s="235"/>
      <c r="CZG2" s="235"/>
      <c r="CZH2" s="235"/>
      <c r="CZI2" s="235"/>
      <c r="CZJ2" s="235"/>
      <c r="CZK2" s="235"/>
      <c r="CZL2" s="235"/>
      <c r="CZM2" s="235"/>
      <c r="CZN2" s="235"/>
      <c r="CZO2" s="235"/>
      <c r="CZP2" s="235"/>
      <c r="CZQ2" s="235"/>
      <c r="CZR2" s="235"/>
      <c r="CZS2" s="235"/>
      <c r="CZT2" s="235"/>
      <c r="CZU2" s="235"/>
      <c r="CZV2" s="235"/>
      <c r="CZW2" s="235"/>
      <c r="CZX2" s="235"/>
      <c r="CZY2" s="235"/>
      <c r="CZZ2" s="235"/>
      <c r="DAA2" s="235"/>
      <c r="DAB2" s="235"/>
      <c r="DAC2" s="235"/>
      <c r="DAD2" s="235"/>
      <c r="DAE2" s="235"/>
      <c r="DAF2" s="235"/>
      <c r="DAG2" s="235"/>
      <c r="DAH2" s="235"/>
      <c r="DAI2" s="235"/>
      <c r="DAJ2" s="235"/>
      <c r="DAK2" s="235"/>
      <c r="DAL2" s="235"/>
      <c r="DAM2" s="235"/>
      <c r="DAN2" s="235"/>
      <c r="DAO2" s="235"/>
      <c r="DAP2" s="235"/>
      <c r="DAQ2" s="235"/>
      <c r="DAR2" s="235"/>
      <c r="DAS2" s="235"/>
      <c r="DAT2" s="235"/>
      <c r="DAU2" s="235"/>
      <c r="DAV2" s="235"/>
      <c r="DAW2" s="235"/>
      <c r="DAX2" s="235"/>
      <c r="DAY2" s="235"/>
      <c r="DAZ2" s="235"/>
      <c r="DBA2" s="235"/>
      <c r="DBB2" s="235"/>
      <c r="DBC2" s="235"/>
      <c r="DBD2" s="235"/>
      <c r="DBE2" s="235"/>
      <c r="DBF2" s="235"/>
      <c r="DBG2" s="235"/>
      <c r="DBH2" s="235"/>
      <c r="DBI2" s="235"/>
      <c r="DBJ2" s="235"/>
      <c r="DBK2" s="235"/>
      <c r="DBL2" s="235"/>
      <c r="DBM2" s="235"/>
      <c r="DBN2" s="235"/>
      <c r="DBO2" s="235"/>
      <c r="DBP2" s="235"/>
      <c r="DBQ2" s="235"/>
      <c r="DBR2" s="235"/>
      <c r="DBS2" s="235"/>
      <c r="DBT2" s="235"/>
      <c r="DBU2" s="235"/>
      <c r="DBV2" s="235"/>
      <c r="DBW2" s="235"/>
      <c r="DBX2" s="235"/>
      <c r="DBY2" s="235"/>
      <c r="DBZ2" s="235"/>
      <c r="DCA2" s="235"/>
      <c r="DCB2" s="235"/>
      <c r="DCC2" s="235"/>
      <c r="DCD2" s="235"/>
      <c r="DCE2" s="235"/>
      <c r="DCF2" s="235"/>
      <c r="DCG2" s="235"/>
      <c r="DCH2" s="235"/>
      <c r="DCI2" s="235"/>
      <c r="DCJ2" s="235"/>
      <c r="DCK2" s="235"/>
      <c r="DCL2" s="235"/>
      <c r="DCM2" s="235"/>
      <c r="DCN2" s="235"/>
      <c r="DCO2" s="235"/>
      <c r="DCP2" s="235"/>
      <c r="DCQ2" s="235"/>
      <c r="DCR2" s="235"/>
      <c r="DCS2" s="235"/>
      <c r="DCT2" s="235"/>
      <c r="DCU2" s="235"/>
      <c r="DCV2" s="235"/>
      <c r="DCW2" s="235"/>
      <c r="DCX2" s="235"/>
      <c r="DCY2" s="235"/>
      <c r="DCZ2" s="235"/>
      <c r="DDA2" s="235"/>
      <c r="DDB2" s="235"/>
      <c r="DDC2" s="235"/>
      <c r="DDD2" s="235"/>
      <c r="DDE2" s="235"/>
      <c r="DDF2" s="235"/>
      <c r="DDG2" s="235"/>
      <c r="DDH2" s="235"/>
      <c r="DDI2" s="235"/>
      <c r="DDJ2" s="235"/>
      <c r="DDK2" s="235"/>
      <c r="DDL2" s="235"/>
      <c r="DDM2" s="235"/>
      <c r="DDN2" s="235"/>
      <c r="DDO2" s="235"/>
      <c r="DDP2" s="235"/>
      <c r="DDQ2" s="235"/>
      <c r="DDR2" s="235"/>
      <c r="DDS2" s="235"/>
      <c r="DDT2" s="235"/>
      <c r="DDU2" s="235"/>
      <c r="DDV2" s="235"/>
      <c r="DDW2" s="235"/>
      <c r="DDX2" s="235"/>
      <c r="DDY2" s="235"/>
      <c r="DDZ2" s="235"/>
      <c r="DEA2" s="235"/>
      <c r="DEB2" s="235"/>
      <c r="DEC2" s="235"/>
      <c r="DED2" s="235"/>
      <c r="DEE2" s="235"/>
      <c r="DEF2" s="235"/>
      <c r="DEG2" s="235"/>
      <c r="DEH2" s="235"/>
      <c r="DEI2" s="235"/>
      <c r="DEJ2" s="235"/>
      <c r="DEK2" s="235"/>
      <c r="DEL2" s="235"/>
      <c r="DEM2" s="235"/>
      <c r="DEN2" s="235"/>
      <c r="DEO2" s="235"/>
      <c r="DEP2" s="235"/>
      <c r="DEQ2" s="235"/>
      <c r="DER2" s="235"/>
      <c r="DES2" s="235"/>
      <c r="DET2" s="235"/>
      <c r="DEU2" s="235"/>
      <c r="DEV2" s="235"/>
      <c r="DEW2" s="235"/>
      <c r="DEX2" s="235"/>
      <c r="DEY2" s="235"/>
      <c r="DEZ2" s="235"/>
      <c r="DFA2" s="235"/>
      <c r="DFB2" s="235"/>
      <c r="DFC2" s="235"/>
      <c r="DFD2" s="235"/>
      <c r="DFE2" s="235"/>
      <c r="DFF2" s="235"/>
      <c r="DFG2" s="235"/>
      <c r="DFH2" s="235"/>
      <c r="DFI2" s="235"/>
      <c r="DFJ2" s="235"/>
      <c r="DFK2" s="235"/>
      <c r="DFL2" s="235"/>
      <c r="DFM2" s="235"/>
      <c r="DFN2" s="235"/>
      <c r="DFO2" s="235"/>
      <c r="DFP2" s="235"/>
      <c r="DFQ2" s="235"/>
      <c r="DFR2" s="235"/>
      <c r="DFS2" s="235"/>
      <c r="DFT2" s="235"/>
      <c r="DFU2" s="235"/>
      <c r="DFV2" s="235"/>
      <c r="DFW2" s="235"/>
      <c r="DFX2" s="235"/>
      <c r="DFY2" s="235"/>
      <c r="DFZ2" s="235"/>
      <c r="DGA2" s="235"/>
      <c r="DGB2" s="235"/>
      <c r="DGC2" s="235"/>
      <c r="DGD2" s="235"/>
      <c r="DGE2" s="235"/>
      <c r="DGF2" s="235"/>
      <c r="DGG2" s="235"/>
      <c r="DGH2" s="235"/>
      <c r="DGI2" s="235"/>
      <c r="DGJ2" s="235"/>
      <c r="DGK2" s="235"/>
      <c r="DGL2" s="235"/>
      <c r="DGM2" s="235"/>
      <c r="DGN2" s="235"/>
      <c r="DGO2" s="235"/>
      <c r="DGP2" s="235"/>
      <c r="DGQ2" s="235"/>
      <c r="DGR2" s="235"/>
      <c r="DGS2" s="235"/>
      <c r="DGT2" s="235"/>
      <c r="DGU2" s="235"/>
      <c r="DGV2" s="235"/>
      <c r="DGW2" s="235"/>
      <c r="DGX2" s="235"/>
      <c r="DGY2" s="235"/>
      <c r="DGZ2" s="235"/>
      <c r="DHA2" s="235"/>
      <c r="DHB2" s="235"/>
      <c r="DHC2" s="235"/>
      <c r="DHD2" s="235"/>
      <c r="DHE2" s="235"/>
      <c r="DHF2" s="235"/>
      <c r="DHG2" s="235"/>
      <c r="DHH2" s="235"/>
      <c r="DHI2" s="235"/>
      <c r="DHJ2" s="235"/>
      <c r="DHK2" s="235"/>
      <c r="DHL2" s="235"/>
      <c r="DHM2" s="235"/>
      <c r="DHN2" s="235"/>
      <c r="DHO2" s="235"/>
      <c r="DHP2" s="235"/>
      <c r="DHQ2" s="235"/>
      <c r="DHR2" s="235"/>
      <c r="DHS2" s="235"/>
      <c r="DHT2" s="235"/>
      <c r="DHU2" s="235"/>
      <c r="DHV2" s="235"/>
      <c r="DHW2" s="235"/>
      <c r="DHX2" s="235"/>
      <c r="DHY2" s="235"/>
      <c r="DHZ2" s="235"/>
      <c r="DIA2" s="235"/>
      <c r="DIB2" s="235"/>
      <c r="DIC2" s="235"/>
      <c r="DID2" s="235"/>
      <c r="DIE2" s="235"/>
      <c r="DIF2" s="235"/>
      <c r="DIG2" s="235"/>
      <c r="DIH2" s="235"/>
      <c r="DII2" s="235"/>
      <c r="DIJ2" s="235"/>
      <c r="DIK2" s="235"/>
      <c r="DIL2" s="235"/>
      <c r="DIM2" s="235"/>
      <c r="DIN2" s="235"/>
      <c r="DIO2" s="235"/>
      <c r="DIP2" s="235"/>
      <c r="DIQ2" s="235"/>
      <c r="DIR2" s="235"/>
      <c r="DIS2" s="235"/>
      <c r="DIT2" s="235"/>
      <c r="DIU2" s="235"/>
      <c r="DIV2" s="235"/>
      <c r="DIW2" s="235"/>
      <c r="DIX2" s="235"/>
      <c r="DIY2" s="235"/>
      <c r="DIZ2" s="235"/>
      <c r="DJA2" s="235"/>
      <c r="DJB2" s="235"/>
      <c r="DJC2" s="235"/>
      <c r="DJD2" s="235"/>
      <c r="DJE2" s="235"/>
      <c r="DJF2" s="235"/>
      <c r="DJG2" s="235"/>
      <c r="DJH2" s="235"/>
      <c r="DJI2" s="235"/>
      <c r="DJJ2" s="235"/>
      <c r="DJK2" s="235"/>
      <c r="DJL2" s="235"/>
      <c r="DJM2" s="235"/>
      <c r="DJN2" s="235"/>
      <c r="DJO2" s="235"/>
      <c r="DJP2" s="235"/>
      <c r="DJQ2" s="235"/>
      <c r="DJR2" s="235"/>
      <c r="DJS2" s="235"/>
      <c r="DJT2" s="235"/>
      <c r="DJU2" s="235"/>
      <c r="DJV2" s="235"/>
      <c r="DJW2" s="235"/>
      <c r="DJX2" s="235"/>
      <c r="DJY2" s="235"/>
      <c r="DJZ2" s="235"/>
      <c r="DKA2" s="235"/>
      <c r="DKB2" s="235"/>
      <c r="DKC2" s="235"/>
      <c r="DKD2" s="235"/>
      <c r="DKE2" s="235"/>
      <c r="DKF2" s="235"/>
      <c r="DKG2" s="235"/>
      <c r="DKH2" s="235"/>
      <c r="DKI2" s="235"/>
      <c r="DKJ2" s="235"/>
      <c r="DKK2" s="235"/>
      <c r="DKL2" s="235"/>
      <c r="DKM2" s="235"/>
      <c r="DKN2" s="235"/>
      <c r="DKO2" s="235"/>
      <c r="DKP2" s="235"/>
      <c r="DKQ2" s="235"/>
      <c r="DKR2" s="235"/>
      <c r="DKS2" s="235"/>
      <c r="DKT2" s="235"/>
      <c r="DKU2" s="235"/>
      <c r="DKV2" s="235"/>
      <c r="DKW2" s="235"/>
      <c r="DKX2" s="235"/>
      <c r="DKY2" s="235"/>
      <c r="DKZ2" s="235"/>
      <c r="DLA2" s="235"/>
      <c r="DLB2" s="235"/>
      <c r="DLC2" s="235"/>
      <c r="DLD2" s="235"/>
      <c r="DLE2" s="235"/>
      <c r="DLF2" s="235"/>
      <c r="DLG2" s="235"/>
      <c r="DLH2" s="235"/>
      <c r="DLI2" s="235"/>
      <c r="DLJ2" s="235"/>
      <c r="DLK2" s="235"/>
      <c r="DLL2" s="235"/>
      <c r="DLM2" s="235"/>
      <c r="DLN2" s="235"/>
      <c r="DLO2" s="235"/>
      <c r="DLP2" s="235"/>
      <c r="DLQ2" s="235"/>
      <c r="DLR2" s="235"/>
      <c r="DLS2" s="235"/>
      <c r="DLT2" s="235"/>
      <c r="DLU2" s="235"/>
      <c r="DLV2" s="235"/>
      <c r="DLW2" s="235"/>
      <c r="DLX2" s="235"/>
      <c r="DLY2" s="235"/>
      <c r="DLZ2" s="235"/>
      <c r="DMA2" s="235"/>
      <c r="DMB2" s="235"/>
      <c r="DMC2" s="235"/>
      <c r="DMD2" s="235"/>
      <c r="DME2" s="235"/>
      <c r="DMF2" s="235"/>
      <c r="DMG2" s="235"/>
      <c r="DMH2" s="235"/>
      <c r="DMI2" s="235"/>
      <c r="DMJ2" s="235"/>
      <c r="DMK2" s="235"/>
      <c r="DML2" s="235"/>
      <c r="DMM2" s="235"/>
      <c r="DMN2" s="235"/>
      <c r="DMO2" s="235"/>
      <c r="DMP2" s="235"/>
      <c r="DMQ2" s="235"/>
      <c r="DMR2" s="235"/>
      <c r="DMS2" s="235"/>
      <c r="DMT2" s="235"/>
      <c r="DMU2" s="235"/>
      <c r="DMV2" s="235"/>
      <c r="DMW2" s="235"/>
      <c r="DMX2" s="235"/>
      <c r="DMY2" s="235"/>
      <c r="DMZ2" s="235"/>
      <c r="DNA2" s="235"/>
      <c r="DNB2" s="235"/>
      <c r="DNC2" s="235"/>
      <c r="DND2" s="235"/>
      <c r="DNE2" s="235"/>
      <c r="DNF2" s="235"/>
      <c r="DNG2" s="235"/>
      <c r="DNH2" s="235"/>
      <c r="DNI2" s="235"/>
      <c r="DNJ2" s="235"/>
      <c r="DNK2" s="235"/>
      <c r="DNL2" s="235"/>
      <c r="DNM2" s="235"/>
      <c r="DNN2" s="235"/>
      <c r="DNO2" s="235"/>
      <c r="DNP2" s="235"/>
      <c r="DNQ2" s="235"/>
      <c r="DNR2" s="235"/>
      <c r="DNS2" s="235"/>
      <c r="DNT2" s="235"/>
      <c r="DNU2" s="235"/>
      <c r="DNV2" s="235"/>
      <c r="DNW2" s="235"/>
      <c r="DNX2" s="235"/>
      <c r="DNY2" s="235"/>
      <c r="DNZ2" s="235"/>
      <c r="DOA2" s="235"/>
      <c r="DOB2" s="235"/>
      <c r="DOC2" s="235"/>
      <c r="DOD2" s="235"/>
      <c r="DOE2" s="235"/>
      <c r="DOF2" s="235"/>
      <c r="DOG2" s="235"/>
      <c r="DOH2" s="235"/>
      <c r="DOI2" s="235"/>
      <c r="DOJ2" s="235"/>
      <c r="DOK2" s="235"/>
      <c r="DOL2" s="235"/>
      <c r="DOM2" s="235"/>
      <c r="DON2" s="235"/>
      <c r="DOO2" s="235"/>
      <c r="DOP2" s="235"/>
      <c r="DOQ2" s="235"/>
      <c r="DOR2" s="235"/>
      <c r="DOS2" s="235"/>
      <c r="DOT2" s="235"/>
      <c r="DOU2" s="235"/>
      <c r="DOV2" s="235"/>
      <c r="DOW2" s="235"/>
      <c r="DOX2" s="235"/>
      <c r="DOY2" s="235"/>
      <c r="DOZ2" s="235"/>
      <c r="DPA2" s="235"/>
      <c r="DPB2" s="235"/>
      <c r="DPC2" s="235"/>
      <c r="DPD2" s="235"/>
      <c r="DPE2" s="235"/>
      <c r="DPF2" s="235"/>
      <c r="DPG2" s="235"/>
      <c r="DPH2" s="235"/>
      <c r="DPI2" s="235"/>
      <c r="DPJ2" s="235"/>
      <c r="DPK2" s="235"/>
      <c r="DPL2" s="235"/>
      <c r="DPM2" s="235"/>
      <c r="DPN2" s="235"/>
      <c r="DPO2" s="235"/>
      <c r="DPP2" s="235"/>
      <c r="DPQ2" s="235"/>
      <c r="DPR2" s="235"/>
      <c r="DPS2" s="235"/>
      <c r="DPT2" s="235"/>
      <c r="DPU2" s="235"/>
      <c r="DPV2" s="235"/>
      <c r="DPW2" s="235"/>
      <c r="DPX2" s="235"/>
      <c r="DPY2" s="235"/>
      <c r="DPZ2" s="235"/>
      <c r="DQA2" s="235"/>
      <c r="DQB2" s="235"/>
      <c r="DQC2" s="235"/>
      <c r="DQD2" s="235"/>
      <c r="DQE2" s="235"/>
      <c r="DQF2" s="235"/>
      <c r="DQG2" s="235"/>
      <c r="DQH2" s="235"/>
      <c r="DQI2" s="235"/>
      <c r="DQJ2" s="235"/>
      <c r="DQK2" s="235"/>
      <c r="DQL2" s="235"/>
      <c r="DQM2" s="235"/>
      <c r="DQN2" s="235"/>
      <c r="DQO2" s="235"/>
      <c r="DQP2" s="235"/>
      <c r="DQQ2" s="235"/>
      <c r="DQR2" s="235"/>
      <c r="DQS2" s="235"/>
      <c r="DQT2" s="235"/>
      <c r="DQU2" s="235"/>
      <c r="DQV2" s="235"/>
      <c r="DQW2" s="235"/>
      <c r="DQX2" s="235"/>
      <c r="DQY2" s="235"/>
      <c r="DQZ2" s="235"/>
      <c r="DRA2" s="235"/>
      <c r="DRB2" s="235"/>
      <c r="DRC2" s="235"/>
      <c r="DRD2" s="235"/>
      <c r="DRE2" s="235"/>
      <c r="DRF2" s="235"/>
      <c r="DRG2" s="235"/>
      <c r="DRH2" s="235"/>
      <c r="DRI2" s="235"/>
      <c r="DRJ2" s="235"/>
      <c r="DRK2" s="235"/>
      <c r="DRL2" s="235"/>
      <c r="DRM2" s="235"/>
      <c r="DRN2" s="235"/>
      <c r="DRO2" s="235"/>
      <c r="DRP2" s="235"/>
      <c r="DRQ2" s="235"/>
      <c r="DRR2" s="235"/>
      <c r="DRS2" s="235"/>
      <c r="DRT2" s="235"/>
      <c r="DRU2" s="235"/>
      <c r="DRV2" s="235"/>
      <c r="DRW2" s="235"/>
      <c r="DRX2" s="235"/>
      <c r="DRY2" s="235"/>
      <c r="DRZ2" s="235"/>
      <c r="DSA2" s="235"/>
      <c r="DSB2" s="235"/>
      <c r="DSC2" s="235"/>
      <c r="DSD2" s="235"/>
      <c r="DSE2" s="235"/>
      <c r="DSF2" s="235"/>
      <c r="DSG2" s="235"/>
      <c r="DSH2" s="235"/>
      <c r="DSI2" s="235"/>
      <c r="DSJ2" s="235"/>
      <c r="DSK2" s="235"/>
      <c r="DSL2" s="235"/>
      <c r="DSM2" s="235"/>
      <c r="DSN2" s="235"/>
      <c r="DSO2" s="235"/>
      <c r="DSP2" s="235"/>
      <c r="DSQ2" s="235"/>
      <c r="DSR2" s="235"/>
      <c r="DSS2" s="235"/>
      <c r="DST2" s="235"/>
      <c r="DSU2" s="235"/>
      <c r="DSV2" s="235"/>
      <c r="DSW2" s="235"/>
      <c r="DSX2" s="235"/>
      <c r="DSY2" s="235"/>
      <c r="DSZ2" s="235"/>
      <c r="DTA2" s="235"/>
      <c r="DTB2" s="235"/>
      <c r="DTC2" s="235"/>
      <c r="DTD2" s="235"/>
      <c r="DTE2" s="235"/>
      <c r="DTF2" s="235"/>
      <c r="DTG2" s="235"/>
      <c r="DTH2" s="235"/>
      <c r="DTI2" s="235"/>
      <c r="DTJ2" s="235"/>
      <c r="DTK2" s="235"/>
      <c r="DTL2" s="235"/>
      <c r="DTM2" s="235"/>
      <c r="DTN2" s="235"/>
      <c r="DTO2" s="235"/>
      <c r="DTP2" s="235"/>
      <c r="DTQ2" s="235"/>
      <c r="DTR2" s="235"/>
      <c r="DTS2" s="235"/>
      <c r="DTT2" s="235"/>
      <c r="DTU2" s="235"/>
      <c r="DTV2" s="235"/>
      <c r="DTW2" s="235"/>
      <c r="DTX2" s="235"/>
      <c r="DTY2" s="235"/>
      <c r="DTZ2" s="235"/>
      <c r="DUA2" s="235"/>
      <c r="DUB2" s="235"/>
      <c r="DUC2" s="235"/>
      <c r="DUD2" s="235"/>
      <c r="DUE2" s="235"/>
      <c r="DUF2" s="235"/>
      <c r="DUG2" s="235"/>
      <c r="DUH2" s="235"/>
      <c r="DUI2" s="235"/>
      <c r="DUJ2" s="235"/>
      <c r="DUK2" s="235"/>
      <c r="DUL2" s="235"/>
      <c r="DUM2" s="235"/>
      <c r="DUN2" s="235"/>
      <c r="DUO2" s="235"/>
      <c r="DUP2" s="235"/>
      <c r="DUQ2" s="235"/>
      <c r="DUR2" s="235"/>
      <c r="DUS2" s="235"/>
      <c r="DUT2" s="235"/>
      <c r="DUU2" s="235"/>
      <c r="DUV2" s="235"/>
      <c r="DUW2" s="235"/>
      <c r="DUX2" s="235"/>
      <c r="DUY2" s="235"/>
      <c r="DUZ2" s="235"/>
      <c r="DVA2" s="235"/>
      <c r="DVB2" s="235"/>
      <c r="DVC2" s="235"/>
      <c r="DVD2" s="235"/>
      <c r="DVE2" s="235"/>
      <c r="DVF2" s="235"/>
      <c r="DVG2" s="235"/>
      <c r="DVH2" s="235"/>
      <c r="DVI2" s="235"/>
      <c r="DVJ2" s="235"/>
      <c r="DVK2" s="235"/>
      <c r="DVL2" s="235"/>
      <c r="DVM2" s="235"/>
      <c r="DVN2" s="235"/>
      <c r="DVO2" s="235"/>
      <c r="DVP2" s="235"/>
      <c r="DVQ2" s="235"/>
      <c r="DVR2" s="235"/>
      <c r="DVS2" s="235"/>
      <c r="DVT2" s="235"/>
      <c r="DVU2" s="235"/>
      <c r="DVV2" s="235"/>
      <c r="DVW2" s="235"/>
      <c r="DVX2" s="235"/>
      <c r="DVY2" s="235"/>
      <c r="DVZ2" s="235"/>
      <c r="DWA2" s="235"/>
      <c r="DWB2" s="235"/>
      <c r="DWC2" s="235"/>
      <c r="DWD2" s="235"/>
      <c r="DWE2" s="235"/>
      <c r="DWF2" s="235"/>
      <c r="DWG2" s="235"/>
      <c r="DWH2" s="235"/>
      <c r="DWI2" s="235"/>
      <c r="DWJ2" s="235"/>
      <c r="DWK2" s="235"/>
      <c r="DWL2" s="235"/>
      <c r="DWM2" s="235"/>
      <c r="DWN2" s="235"/>
      <c r="DWO2" s="235"/>
      <c r="DWP2" s="235"/>
      <c r="DWQ2" s="235"/>
      <c r="DWR2" s="235"/>
      <c r="DWS2" s="235"/>
      <c r="DWT2" s="235"/>
      <c r="DWU2" s="235"/>
      <c r="DWV2" s="235"/>
      <c r="DWW2" s="235"/>
      <c r="DWX2" s="235"/>
      <c r="DWY2" s="235"/>
      <c r="DWZ2" s="235"/>
      <c r="DXA2" s="235"/>
      <c r="DXB2" s="235"/>
      <c r="DXC2" s="235"/>
      <c r="DXD2" s="235"/>
      <c r="DXE2" s="235"/>
      <c r="DXF2" s="235"/>
      <c r="DXG2" s="235"/>
      <c r="DXH2" s="235"/>
      <c r="DXI2" s="235"/>
      <c r="DXJ2" s="235"/>
      <c r="DXK2" s="235"/>
      <c r="DXL2" s="235"/>
      <c r="DXM2" s="235"/>
      <c r="DXN2" s="235"/>
      <c r="DXO2" s="235"/>
      <c r="DXP2" s="235"/>
      <c r="DXQ2" s="235"/>
      <c r="DXR2" s="235"/>
      <c r="DXS2" s="235"/>
      <c r="DXT2" s="235"/>
      <c r="DXU2" s="235"/>
      <c r="DXV2" s="235"/>
      <c r="DXW2" s="235"/>
      <c r="DXX2" s="235"/>
      <c r="DXY2" s="235"/>
      <c r="DXZ2" s="235"/>
      <c r="DYA2" s="235"/>
      <c r="DYB2" s="235"/>
      <c r="DYC2" s="235"/>
      <c r="DYD2" s="235"/>
      <c r="DYE2" s="235"/>
      <c r="DYF2" s="235"/>
      <c r="DYG2" s="235"/>
      <c r="DYH2" s="235"/>
      <c r="DYI2" s="235"/>
      <c r="DYJ2" s="235"/>
      <c r="DYK2" s="235"/>
      <c r="DYL2" s="235"/>
      <c r="DYM2" s="235"/>
      <c r="DYN2" s="235"/>
      <c r="DYO2" s="235"/>
      <c r="DYP2" s="235"/>
      <c r="DYQ2" s="235"/>
      <c r="DYR2" s="235"/>
      <c r="DYS2" s="235"/>
      <c r="DYT2" s="235"/>
      <c r="DYU2" s="235"/>
      <c r="DYV2" s="235"/>
      <c r="DYW2" s="235"/>
      <c r="DYX2" s="235"/>
      <c r="DYY2" s="235"/>
      <c r="DYZ2" s="235"/>
      <c r="DZA2" s="235"/>
      <c r="DZB2" s="235"/>
      <c r="DZC2" s="235"/>
      <c r="DZD2" s="235"/>
      <c r="DZE2" s="235"/>
      <c r="DZF2" s="235"/>
      <c r="DZG2" s="235"/>
      <c r="DZH2" s="235"/>
      <c r="DZI2" s="235"/>
      <c r="DZJ2" s="235"/>
      <c r="DZK2" s="235"/>
      <c r="DZL2" s="235"/>
      <c r="DZM2" s="235"/>
      <c r="DZN2" s="235"/>
      <c r="DZO2" s="235"/>
      <c r="DZP2" s="235"/>
      <c r="DZQ2" s="235"/>
      <c r="DZR2" s="235"/>
      <c r="DZS2" s="235"/>
      <c r="DZT2" s="235"/>
      <c r="DZU2" s="235"/>
      <c r="DZV2" s="235"/>
      <c r="DZW2" s="235"/>
      <c r="DZX2" s="235"/>
      <c r="DZY2" s="235"/>
      <c r="DZZ2" s="235"/>
      <c r="EAA2" s="235"/>
      <c r="EAB2" s="235"/>
      <c r="EAC2" s="235"/>
      <c r="EAD2" s="235"/>
      <c r="EAE2" s="235"/>
      <c r="EAF2" s="235"/>
      <c r="EAG2" s="235"/>
      <c r="EAH2" s="235"/>
      <c r="EAI2" s="235"/>
      <c r="EAJ2" s="235"/>
      <c r="EAK2" s="235"/>
      <c r="EAL2" s="235"/>
      <c r="EAM2" s="235"/>
      <c r="EAN2" s="235"/>
      <c r="EAO2" s="235"/>
      <c r="EAP2" s="235"/>
      <c r="EAQ2" s="235"/>
      <c r="EAR2" s="235"/>
      <c r="EAS2" s="235"/>
      <c r="EAT2" s="235"/>
      <c r="EAU2" s="235"/>
      <c r="EAV2" s="235"/>
      <c r="EAW2" s="235"/>
      <c r="EAX2" s="235"/>
      <c r="EAY2" s="235"/>
      <c r="EAZ2" s="235"/>
      <c r="EBA2" s="235"/>
      <c r="EBB2" s="235"/>
      <c r="EBC2" s="235"/>
      <c r="EBD2" s="235"/>
      <c r="EBE2" s="235"/>
      <c r="EBF2" s="235"/>
      <c r="EBG2" s="235"/>
      <c r="EBH2" s="235"/>
      <c r="EBI2" s="235"/>
      <c r="EBJ2" s="235"/>
      <c r="EBK2" s="235"/>
      <c r="EBL2" s="235"/>
      <c r="EBM2" s="235"/>
      <c r="EBN2" s="235"/>
      <c r="EBO2" s="235"/>
      <c r="EBP2" s="235"/>
      <c r="EBQ2" s="235"/>
      <c r="EBR2" s="235"/>
      <c r="EBS2" s="235"/>
      <c r="EBT2" s="235"/>
      <c r="EBU2" s="235"/>
      <c r="EBV2" s="235"/>
      <c r="EBW2" s="235"/>
      <c r="EBX2" s="235"/>
      <c r="EBY2" s="235"/>
      <c r="EBZ2" s="235"/>
      <c r="ECA2" s="235"/>
      <c r="ECB2" s="235"/>
      <c r="ECC2" s="235"/>
      <c r="ECD2" s="235"/>
      <c r="ECE2" s="235"/>
      <c r="ECF2" s="235"/>
      <c r="ECG2" s="235"/>
      <c r="ECH2" s="235"/>
      <c r="ECI2" s="235"/>
      <c r="ECJ2" s="235"/>
      <c r="ECK2" s="235"/>
      <c r="ECL2" s="235"/>
      <c r="ECM2" s="235"/>
      <c r="ECN2" s="235"/>
      <c r="ECO2" s="235"/>
      <c r="ECP2" s="235"/>
      <c r="ECQ2" s="235"/>
      <c r="ECR2" s="235"/>
      <c r="ECS2" s="235"/>
      <c r="ECT2" s="235"/>
      <c r="ECU2" s="235"/>
      <c r="ECV2" s="235"/>
      <c r="ECW2" s="235"/>
      <c r="ECX2" s="235"/>
      <c r="ECY2" s="235"/>
      <c r="ECZ2" s="235"/>
      <c r="EDA2" s="235"/>
      <c r="EDB2" s="235"/>
      <c r="EDC2" s="235"/>
      <c r="EDD2" s="235"/>
      <c r="EDE2" s="235"/>
      <c r="EDF2" s="235"/>
      <c r="EDG2" s="235"/>
      <c r="EDH2" s="235"/>
      <c r="EDI2" s="235"/>
      <c r="EDJ2" s="235"/>
      <c r="EDK2" s="235"/>
      <c r="EDL2" s="235"/>
      <c r="EDM2" s="235"/>
      <c r="EDN2" s="235"/>
      <c r="EDO2" s="235"/>
      <c r="EDP2" s="235"/>
      <c r="EDQ2" s="235"/>
      <c r="EDR2" s="235"/>
      <c r="EDS2" s="235"/>
      <c r="EDT2" s="235"/>
      <c r="EDU2" s="235"/>
      <c r="EDV2" s="235"/>
      <c r="EDW2" s="235"/>
      <c r="EDX2" s="235"/>
      <c r="EDY2" s="235"/>
      <c r="EDZ2" s="235"/>
      <c r="EEA2" s="235"/>
      <c r="EEB2" s="235"/>
      <c r="EEC2" s="235"/>
      <c r="EED2" s="235"/>
      <c r="EEE2" s="235"/>
      <c r="EEF2" s="235"/>
      <c r="EEG2" s="235"/>
      <c r="EEH2" s="235"/>
      <c r="EEI2" s="235"/>
      <c r="EEJ2" s="235"/>
      <c r="EEK2" s="235"/>
      <c r="EEL2" s="235"/>
      <c r="EEM2" s="235"/>
      <c r="EEN2" s="235"/>
      <c r="EEO2" s="235"/>
      <c r="EEP2" s="235"/>
      <c r="EEQ2" s="235"/>
      <c r="EER2" s="235"/>
      <c r="EES2" s="235"/>
      <c r="EET2" s="235"/>
      <c r="EEU2" s="235"/>
      <c r="EEV2" s="235"/>
      <c r="EEW2" s="235"/>
      <c r="EEX2" s="235"/>
      <c r="EEY2" s="235"/>
      <c r="EEZ2" s="235"/>
      <c r="EFA2" s="235"/>
      <c r="EFB2" s="235"/>
      <c r="EFC2" s="235"/>
      <c r="EFD2" s="235"/>
      <c r="EFE2" s="235"/>
      <c r="EFF2" s="235"/>
      <c r="EFG2" s="235"/>
      <c r="EFH2" s="235"/>
      <c r="EFI2" s="235"/>
      <c r="EFJ2" s="235"/>
      <c r="EFK2" s="235"/>
      <c r="EFL2" s="235"/>
      <c r="EFM2" s="235"/>
      <c r="EFN2" s="235"/>
      <c r="EFO2" s="235"/>
      <c r="EFP2" s="235"/>
      <c r="EFQ2" s="235"/>
      <c r="EFR2" s="235"/>
      <c r="EFS2" s="235"/>
      <c r="EFT2" s="235"/>
      <c r="EFU2" s="235"/>
      <c r="EFV2" s="235"/>
      <c r="EFW2" s="235"/>
      <c r="EFX2" s="235"/>
      <c r="EFY2" s="235"/>
      <c r="EFZ2" s="235"/>
      <c r="EGA2" s="235"/>
      <c r="EGB2" s="235"/>
      <c r="EGC2" s="235"/>
      <c r="EGD2" s="235"/>
      <c r="EGE2" s="235"/>
      <c r="EGF2" s="235"/>
      <c r="EGG2" s="235"/>
      <c r="EGH2" s="235"/>
      <c r="EGI2" s="235"/>
      <c r="EGJ2" s="235"/>
      <c r="EGK2" s="235"/>
      <c r="EGL2" s="235"/>
      <c r="EGM2" s="235"/>
      <c r="EGN2" s="235"/>
      <c r="EGO2" s="235"/>
      <c r="EGP2" s="235"/>
      <c r="EGQ2" s="235"/>
      <c r="EGR2" s="235"/>
      <c r="EGS2" s="235"/>
      <c r="EGT2" s="235"/>
      <c r="EGU2" s="235"/>
      <c r="EGV2" s="235"/>
      <c r="EGW2" s="235"/>
      <c r="EGX2" s="235"/>
      <c r="EGY2" s="235"/>
      <c r="EGZ2" s="235"/>
      <c r="EHA2" s="235"/>
      <c r="EHB2" s="235"/>
      <c r="EHC2" s="235"/>
      <c r="EHD2" s="235"/>
      <c r="EHE2" s="235"/>
      <c r="EHF2" s="235"/>
      <c r="EHG2" s="235"/>
      <c r="EHH2" s="235"/>
      <c r="EHI2" s="235"/>
      <c r="EHJ2" s="235"/>
      <c r="EHK2" s="235"/>
      <c r="EHL2" s="235"/>
      <c r="EHM2" s="235"/>
      <c r="EHN2" s="235"/>
      <c r="EHO2" s="235"/>
      <c r="EHP2" s="235"/>
      <c r="EHQ2" s="235"/>
      <c r="EHR2" s="235"/>
      <c r="EHS2" s="235"/>
      <c r="EHT2" s="235"/>
      <c r="EHU2" s="235"/>
      <c r="EHV2" s="235"/>
      <c r="EHW2" s="235"/>
      <c r="EHX2" s="235"/>
      <c r="EHY2" s="235"/>
      <c r="EHZ2" s="235"/>
      <c r="EIA2" s="235"/>
      <c r="EIB2" s="235"/>
      <c r="EIC2" s="235"/>
      <c r="EID2" s="235"/>
      <c r="EIE2" s="235"/>
      <c r="EIF2" s="235"/>
      <c r="EIG2" s="235"/>
      <c r="EIH2" s="235"/>
      <c r="EII2" s="235"/>
      <c r="EIJ2" s="235"/>
      <c r="EIK2" s="235"/>
      <c r="EIL2" s="235"/>
      <c r="EIM2" s="235"/>
      <c r="EIN2" s="235"/>
      <c r="EIO2" s="235"/>
      <c r="EIP2" s="235"/>
      <c r="EIQ2" s="235"/>
      <c r="EIR2" s="235"/>
      <c r="EIS2" s="235"/>
      <c r="EIT2" s="235"/>
      <c r="EIU2" s="235"/>
      <c r="EIV2" s="235"/>
      <c r="EIW2" s="235"/>
      <c r="EIX2" s="235"/>
      <c r="EIY2" s="235"/>
      <c r="EIZ2" s="235"/>
      <c r="EJA2" s="235"/>
      <c r="EJB2" s="235"/>
      <c r="EJC2" s="235"/>
      <c r="EJD2" s="235"/>
      <c r="EJE2" s="235"/>
      <c r="EJF2" s="235"/>
      <c r="EJG2" s="235"/>
      <c r="EJH2" s="235"/>
      <c r="EJI2" s="235"/>
      <c r="EJJ2" s="235"/>
      <c r="EJK2" s="235"/>
      <c r="EJL2" s="235"/>
      <c r="EJM2" s="235"/>
      <c r="EJN2" s="235"/>
      <c r="EJO2" s="235"/>
      <c r="EJP2" s="235"/>
      <c r="EJQ2" s="235"/>
      <c r="EJR2" s="235"/>
      <c r="EJS2" s="235"/>
      <c r="EJT2" s="235"/>
      <c r="EJU2" s="235"/>
      <c r="EJV2" s="235"/>
      <c r="EJW2" s="235"/>
      <c r="EJX2" s="235"/>
      <c r="EJY2" s="235"/>
      <c r="EJZ2" s="235"/>
      <c r="EKA2" s="235"/>
      <c r="EKB2" s="235"/>
      <c r="EKC2" s="235"/>
      <c r="EKD2" s="235"/>
      <c r="EKE2" s="235"/>
      <c r="EKF2" s="235"/>
      <c r="EKG2" s="235"/>
      <c r="EKH2" s="235"/>
      <c r="EKI2" s="235"/>
      <c r="EKJ2" s="235"/>
      <c r="EKK2" s="235"/>
      <c r="EKL2" s="235"/>
      <c r="EKM2" s="235"/>
      <c r="EKN2" s="235"/>
      <c r="EKO2" s="235"/>
      <c r="EKP2" s="235"/>
      <c r="EKQ2" s="235"/>
      <c r="EKR2" s="235"/>
      <c r="EKS2" s="235"/>
      <c r="EKT2" s="235"/>
      <c r="EKU2" s="235"/>
      <c r="EKV2" s="235"/>
      <c r="EKW2" s="235"/>
      <c r="EKX2" s="235"/>
      <c r="EKY2" s="235"/>
      <c r="EKZ2" s="235"/>
      <c r="ELA2" s="235"/>
      <c r="ELB2" s="235"/>
      <c r="ELC2" s="235"/>
      <c r="ELD2" s="235"/>
      <c r="ELE2" s="235"/>
      <c r="ELF2" s="235"/>
      <c r="ELG2" s="235"/>
      <c r="ELH2" s="235"/>
      <c r="ELI2" s="235"/>
      <c r="ELJ2" s="235"/>
      <c r="ELK2" s="235"/>
      <c r="ELL2" s="235"/>
      <c r="ELM2" s="235"/>
      <c r="ELN2" s="235"/>
      <c r="ELO2" s="235"/>
      <c r="ELP2" s="235"/>
      <c r="ELQ2" s="235"/>
      <c r="ELR2" s="235"/>
      <c r="ELS2" s="235"/>
      <c r="ELT2" s="235"/>
      <c r="ELU2" s="235"/>
      <c r="ELV2" s="235"/>
      <c r="ELW2" s="235"/>
      <c r="ELX2" s="235"/>
      <c r="ELY2" s="235"/>
      <c r="ELZ2" s="235"/>
      <c r="EMA2" s="235"/>
      <c r="EMB2" s="235"/>
      <c r="EMC2" s="235"/>
      <c r="EMD2" s="235"/>
      <c r="EME2" s="235"/>
      <c r="EMF2" s="235"/>
      <c r="EMG2" s="235"/>
      <c r="EMH2" s="235"/>
      <c r="EMI2" s="235"/>
      <c r="EMJ2" s="235"/>
      <c r="EMK2" s="235"/>
      <c r="EML2" s="235"/>
      <c r="EMM2" s="235"/>
      <c r="EMN2" s="235"/>
      <c r="EMO2" s="235"/>
      <c r="EMP2" s="235"/>
      <c r="EMQ2" s="235"/>
      <c r="EMR2" s="235"/>
      <c r="EMS2" s="235"/>
      <c r="EMT2" s="235"/>
      <c r="EMU2" s="235"/>
      <c r="EMV2" s="235"/>
      <c r="EMW2" s="235"/>
      <c r="EMX2" s="235"/>
      <c r="EMY2" s="235"/>
      <c r="EMZ2" s="235"/>
      <c r="ENA2" s="235"/>
      <c r="ENB2" s="235"/>
      <c r="ENC2" s="235"/>
      <c r="END2" s="235"/>
      <c r="ENE2" s="235"/>
      <c r="ENF2" s="235"/>
      <c r="ENG2" s="235"/>
      <c r="ENH2" s="235"/>
      <c r="ENI2" s="235"/>
      <c r="ENJ2" s="235"/>
      <c r="ENK2" s="235"/>
      <c r="ENL2" s="235"/>
      <c r="ENM2" s="235"/>
      <c r="ENN2" s="235"/>
      <c r="ENO2" s="235"/>
      <c r="ENP2" s="235"/>
      <c r="ENQ2" s="235"/>
      <c r="ENR2" s="235"/>
      <c r="ENS2" s="235"/>
      <c r="ENT2" s="235"/>
      <c r="ENU2" s="235"/>
      <c r="ENV2" s="235"/>
      <c r="ENW2" s="235"/>
      <c r="ENX2" s="235"/>
      <c r="ENY2" s="235"/>
      <c r="ENZ2" s="235"/>
      <c r="EOA2" s="235"/>
      <c r="EOB2" s="235"/>
      <c r="EOC2" s="235"/>
      <c r="EOD2" s="235"/>
      <c r="EOE2" s="235"/>
      <c r="EOF2" s="235"/>
      <c r="EOG2" s="235"/>
      <c r="EOH2" s="235"/>
      <c r="EOI2" s="235"/>
      <c r="EOJ2" s="235"/>
      <c r="EOK2" s="235"/>
      <c r="EOL2" s="235"/>
      <c r="EOM2" s="235"/>
      <c r="EON2" s="235"/>
      <c r="EOO2" s="235"/>
      <c r="EOP2" s="235"/>
      <c r="EOQ2" s="235"/>
      <c r="EOR2" s="235"/>
      <c r="EOS2" s="235"/>
      <c r="EOT2" s="235"/>
      <c r="EOU2" s="235"/>
      <c r="EOV2" s="235"/>
      <c r="EOW2" s="235"/>
      <c r="EOX2" s="235"/>
      <c r="EOY2" s="235"/>
      <c r="EOZ2" s="235"/>
      <c r="EPA2" s="235"/>
      <c r="EPB2" s="235"/>
      <c r="EPC2" s="235"/>
      <c r="EPD2" s="235"/>
      <c r="EPE2" s="235"/>
      <c r="EPF2" s="235"/>
      <c r="EPG2" s="235"/>
      <c r="EPH2" s="235"/>
      <c r="EPI2" s="235"/>
      <c r="EPJ2" s="235"/>
      <c r="EPK2" s="235"/>
      <c r="EPL2" s="235"/>
      <c r="EPM2" s="235"/>
      <c r="EPN2" s="235"/>
      <c r="EPO2" s="235"/>
      <c r="EPP2" s="235"/>
      <c r="EPQ2" s="235"/>
      <c r="EPR2" s="235"/>
      <c r="EPS2" s="235"/>
      <c r="EPT2" s="235"/>
      <c r="EPU2" s="235"/>
      <c r="EPV2" s="235"/>
      <c r="EPW2" s="235"/>
      <c r="EPX2" s="235"/>
      <c r="EPY2" s="235"/>
      <c r="EPZ2" s="235"/>
      <c r="EQA2" s="235"/>
      <c r="EQB2" s="235"/>
      <c r="EQC2" s="235"/>
      <c r="EQD2" s="235"/>
      <c r="EQE2" s="235"/>
      <c r="EQF2" s="235"/>
      <c r="EQG2" s="235"/>
      <c r="EQH2" s="235"/>
      <c r="EQI2" s="235"/>
      <c r="EQJ2" s="235"/>
      <c r="EQK2" s="235"/>
      <c r="EQL2" s="235"/>
      <c r="EQM2" s="235"/>
      <c r="EQN2" s="235"/>
      <c r="EQO2" s="235"/>
      <c r="EQP2" s="235"/>
      <c r="EQQ2" s="235"/>
      <c r="EQR2" s="235"/>
      <c r="EQS2" s="235"/>
      <c r="EQT2" s="235"/>
      <c r="EQU2" s="235"/>
      <c r="EQV2" s="235"/>
      <c r="EQW2" s="235"/>
      <c r="EQX2" s="235"/>
      <c r="EQY2" s="235"/>
      <c r="EQZ2" s="235"/>
      <c r="ERA2" s="235"/>
      <c r="ERB2" s="235"/>
      <c r="ERC2" s="235"/>
      <c r="ERD2" s="235"/>
      <c r="ERE2" s="235"/>
      <c r="ERF2" s="235"/>
      <c r="ERG2" s="235"/>
      <c r="ERH2" s="235"/>
      <c r="ERI2" s="235"/>
      <c r="ERJ2" s="235"/>
      <c r="ERK2" s="235"/>
      <c r="ERL2" s="235"/>
      <c r="ERM2" s="235"/>
      <c r="ERN2" s="235"/>
      <c r="ERO2" s="235"/>
      <c r="ERP2" s="235"/>
      <c r="ERQ2" s="235"/>
      <c r="ERR2" s="235"/>
      <c r="ERS2" s="235"/>
      <c r="ERT2" s="235"/>
      <c r="ERU2" s="235"/>
      <c r="ERV2" s="235"/>
      <c r="ERW2" s="235"/>
      <c r="ERX2" s="235"/>
      <c r="ERY2" s="235"/>
      <c r="ERZ2" s="235"/>
      <c r="ESA2" s="235"/>
      <c r="ESB2" s="235"/>
      <c r="ESC2" s="235"/>
      <c r="ESD2" s="235"/>
      <c r="ESE2" s="235"/>
      <c r="ESF2" s="235"/>
      <c r="ESG2" s="235"/>
      <c r="ESH2" s="235"/>
      <c r="ESI2" s="235"/>
      <c r="ESJ2" s="235"/>
      <c r="ESK2" s="235"/>
      <c r="ESL2" s="235"/>
      <c r="ESM2" s="235"/>
      <c r="ESN2" s="235"/>
      <c r="ESO2" s="235"/>
      <c r="ESP2" s="235"/>
      <c r="ESQ2" s="235"/>
      <c r="ESR2" s="235"/>
      <c r="ESS2" s="235"/>
      <c r="EST2" s="235"/>
      <c r="ESU2" s="235"/>
      <c r="ESV2" s="235"/>
      <c r="ESW2" s="235"/>
      <c r="ESX2" s="235"/>
      <c r="ESY2" s="235"/>
      <c r="ESZ2" s="235"/>
      <c r="ETA2" s="235"/>
      <c r="ETB2" s="235"/>
      <c r="ETC2" s="235"/>
      <c r="ETD2" s="235"/>
      <c r="ETE2" s="235"/>
      <c r="ETF2" s="235"/>
      <c r="ETG2" s="235"/>
      <c r="ETH2" s="235"/>
      <c r="ETI2" s="235"/>
      <c r="ETJ2" s="235"/>
      <c r="ETK2" s="235"/>
      <c r="ETL2" s="235"/>
      <c r="ETM2" s="235"/>
      <c r="ETN2" s="235"/>
      <c r="ETO2" s="235"/>
      <c r="ETP2" s="235"/>
      <c r="ETQ2" s="235"/>
      <c r="ETR2" s="235"/>
      <c r="ETS2" s="235"/>
      <c r="ETT2" s="235"/>
      <c r="ETU2" s="235"/>
      <c r="ETV2" s="235"/>
      <c r="ETW2" s="235"/>
      <c r="ETX2" s="235"/>
      <c r="ETY2" s="235"/>
      <c r="ETZ2" s="235"/>
      <c r="EUA2" s="235"/>
      <c r="EUB2" s="235"/>
      <c r="EUC2" s="235"/>
      <c r="EUD2" s="235"/>
      <c r="EUE2" s="235"/>
      <c r="EUF2" s="235"/>
      <c r="EUG2" s="235"/>
      <c r="EUH2" s="235"/>
      <c r="EUI2" s="235"/>
      <c r="EUJ2" s="235"/>
      <c r="EUK2" s="235"/>
      <c r="EUL2" s="235"/>
      <c r="EUM2" s="235"/>
      <c r="EUN2" s="235"/>
      <c r="EUO2" s="235"/>
      <c r="EUP2" s="235"/>
      <c r="EUQ2" s="235"/>
      <c r="EUR2" s="235"/>
      <c r="EUS2" s="235"/>
      <c r="EUT2" s="235"/>
      <c r="EUU2" s="235"/>
      <c r="EUV2" s="235"/>
      <c r="EUW2" s="235"/>
      <c r="EUX2" s="235"/>
      <c r="EUY2" s="235"/>
      <c r="EUZ2" s="235"/>
      <c r="EVA2" s="235"/>
      <c r="EVB2" s="235"/>
      <c r="EVC2" s="235"/>
      <c r="EVD2" s="235"/>
      <c r="EVE2" s="235"/>
      <c r="EVF2" s="235"/>
      <c r="EVG2" s="235"/>
      <c r="EVH2" s="235"/>
      <c r="EVI2" s="235"/>
      <c r="EVJ2" s="235"/>
      <c r="EVK2" s="235"/>
      <c r="EVL2" s="235"/>
      <c r="EVM2" s="235"/>
      <c r="EVN2" s="235"/>
      <c r="EVO2" s="235"/>
      <c r="EVP2" s="235"/>
      <c r="EVQ2" s="235"/>
      <c r="EVR2" s="235"/>
      <c r="EVS2" s="235"/>
      <c r="EVT2" s="235"/>
      <c r="EVU2" s="235"/>
      <c r="EVV2" s="235"/>
      <c r="EVW2" s="235"/>
      <c r="EVX2" s="235"/>
      <c r="EVY2" s="235"/>
      <c r="EVZ2" s="235"/>
      <c r="EWA2" s="235"/>
      <c r="EWB2" s="235"/>
      <c r="EWC2" s="235"/>
      <c r="EWD2" s="235"/>
      <c r="EWE2" s="235"/>
      <c r="EWF2" s="235"/>
      <c r="EWG2" s="235"/>
      <c r="EWH2" s="235"/>
      <c r="EWI2" s="235"/>
      <c r="EWJ2" s="235"/>
      <c r="EWK2" s="235"/>
      <c r="EWL2" s="235"/>
      <c r="EWM2" s="235"/>
      <c r="EWN2" s="235"/>
      <c r="EWO2" s="235"/>
      <c r="EWP2" s="235"/>
      <c r="EWQ2" s="235"/>
      <c r="EWR2" s="235"/>
      <c r="EWS2" s="235"/>
      <c r="EWT2" s="235"/>
      <c r="EWU2" s="235"/>
      <c r="EWV2" s="235"/>
      <c r="EWW2" s="235"/>
      <c r="EWX2" s="235"/>
      <c r="EWY2" s="235"/>
      <c r="EWZ2" s="235"/>
      <c r="EXA2" s="235"/>
      <c r="EXB2" s="235"/>
      <c r="EXC2" s="235"/>
      <c r="EXD2" s="235"/>
      <c r="EXE2" s="235"/>
      <c r="EXF2" s="235"/>
      <c r="EXG2" s="235"/>
      <c r="EXH2" s="235"/>
      <c r="EXI2" s="235"/>
      <c r="EXJ2" s="235"/>
      <c r="EXK2" s="235"/>
      <c r="EXL2" s="235"/>
      <c r="EXM2" s="235"/>
      <c r="EXN2" s="235"/>
      <c r="EXO2" s="235"/>
      <c r="EXP2" s="235"/>
      <c r="EXQ2" s="235"/>
      <c r="EXR2" s="235"/>
      <c r="EXS2" s="235"/>
      <c r="EXT2" s="235"/>
      <c r="EXU2" s="235"/>
      <c r="EXV2" s="235"/>
      <c r="EXW2" s="235"/>
      <c r="EXX2" s="235"/>
      <c r="EXY2" s="235"/>
      <c r="EXZ2" s="235"/>
      <c r="EYA2" s="235"/>
      <c r="EYB2" s="235"/>
      <c r="EYC2" s="235"/>
      <c r="EYD2" s="235"/>
      <c r="EYE2" s="235"/>
      <c r="EYF2" s="235"/>
      <c r="EYG2" s="235"/>
      <c r="EYH2" s="235"/>
      <c r="EYI2" s="235"/>
      <c r="EYJ2" s="235"/>
      <c r="EYK2" s="235"/>
      <c r="EYL2" s="235"/>
      <c r="EYM2" s="235"/>
      <c r="EYN2" s="235"/>
      <c r="EYO2" s="235"/>
      <c r="EYP2" s="235"/>
      <c r="EYQ2" s="235"/>
      <c r="EYR2" s="235"/>
      <c r="EYS2" s="235"/>
      <c r="EYT2" s="235"/>
      <c r="EYU2" s="235"/>
      <c r="EYV2" s="235"/>
      <c r="EYW2" s="235"/>
      <c r="EYX2" s="235"/>
      <c r="EYY2" s="235"/>
      <c r="EYZ2" s="235"/>
      <c r="EZA2" s="235"/>
      <c r="EZB2" s="235"/>
      <c r="EZC2" s="235"/>
      <c r="EZD2" s="235"/>
      <c r="EZE2" s="235"/>
      <c r="EZF2" s="235"/>
      <c r="EZG2" s="235"/>
      <c r="EZH2" s="235"/>
      <c r="EZI2" s="235"/>
      <c r="EZJ2" s="235"/>
      <c r="EZK2" s="235"/>
      <c r="EZL2" s="235"/>
      <c r="EZM2" s="235"/>
      <c r="EZN2" s="235"/>
      <c r="EZO2" s="235"/>
      <c r="EZP2" s="235"/>
      <c r="EZQ2" s="235"/>
      <c r="EZR2" s="235"/>
      <c r="EZS2" s="235"/>
      <c r="EZT2" s="235"/>
      <c r="EZU2" s="235"/>
      <c r="EZV2" s="235"/>
      <c r="EZW2" s="235"/>
      <c r="EZX2" s="235"/>
      <c r="EZY2" s="235"/>
      <c r="EZZ2" s="235"/>
      <c r="FAA2" s="235"/>
      <c r="FAB2" s="235"/>
      <c r="FAC2" s="235"/>
      <c r="FAD2" s="235"/>
      <c r="FAE2" s="235"/>
      <c r="FAF2" s="235"/>
      <c r="FAG2" s="235"/>
      <c r="FAH2" s="235"/>
      <c r="FAI2" s="235"/>
      <c r="FAJ2" s="235"/>
      <c r="FAK2" s="235"/>
      <c r="FAL2" s="235"/>
      <c r="FAM2" s="235"/>
      <c r="FAN2" s="235"/>
      <c r="FAO2" s="235"/>
      <c r="FAP2" s="235"/>
      <c r="FAQ2" s="235"/>
      <c r="FAR2" s="235"/>
      <c r="FAS2" s="235"/>
      <c r="FAT2" s="235"/>
      <c r="FAU2" s="235"/>
      <c r="FAV2" s="235"/>
      <c r="FAW2" s="235"/>
      <c r="FAX2" s="235"/>
      <c r="FAY2" s="235"/>
      <c r="FAZ2" s="235"/>
      <c r="FBA2" s="235"/>
      <c r="FBB2" s="235"/>
      <c r="FBC2" s="235"/>
      <c r="FBD2" s="235"/>
      <c r="FBE2" s="235"/>
      <c r="FBF2" s="235"/>
      <c r="FBG2" s="235"/>
      <c r="FBH2" s="235"/>
      <c r="FBI2" s="235"/>
      <c r="FBJ2" s="235"/>
      <c r="FBK2" s="235"/>
      <c r="FBL2" s="235"/>
      <c r="FBM2" s="235"/>
      <c r="FBN2" s="235"/>
      <c r="FBO2" s="235"/>
      <c r="FBP2" s="235"/>
      <c r="FBQ2" s="235"/>
      <c r="FBR2" s="235"/>
      <c r="FBS2" s="235"/>
      <c r="FBT2" s="235"/>
      <c r="FBU2" s="235"/>
      <c r="FBV2" s="235"/>
      <c r="FBW2" s="235"/>
      <c r="FBX2" s="235"/>
      <c r="FBY2" s="235"/>
      <c r="FBZ2" s="235"/>
      <c r="FCA2" s="235"/>
      <c r="FCB2" s="235"/>
      <c r="FCC2" s="235"/>
      <c r="FCD2" s="235"/>
      <c r="FCE2" s="235"/>
      <c r="FCF2" s="235"/>
      <c r="FCG2" s="235"/>
      <c r="FCH2" s="235"/>
      <c r="FCI2" s="235"/>
      <c r="FCJ2" s="235"/>
      <c r="FCK2" s="235"/>
      <c r="FCL2" s="235"/>
      <c r="FCM2" s="235"/>
      <c r="FCN2" s="235"/>
      <c r="FCO2" s="235"/>
      <c r="FCP2" s="235"/>
      <c r="FCQ2" s="235"/>
      <c r="FCR2" s="235"/>
      <c r="FCS2" s="235"/>
      <c r="FCT2" s="235"/>
      <c r="FCU2" s="235"/>
      <c r="FCV2" s="235"/>
      <c r="FCW2" s="235"/>
      <c r="FCX2" s="235"/>
      <c r="FCY2" s="235"/>
      <c r="FCZ2" s="235"/>
      <c r="FDA2" s="235"/>
      <c r="FDB2" s="235"/>
      <c r="FDC2" s="235"/>
      <c r="FDD2" s="235"/>
      <c r="FDE2" s="235"/>
      <c r="FDF2" s="235"/>
      <c r="FDG2" s="235"/>
      <c r="FDH2" s="235"/>
      <c r="FDI2" s="235"/>
      <c r="FDJ2" s="235"/>
      <c r="FDK2" s="235"/>
      <c r="FDL2" s="235"/>
      <c r="FDM2" s="235"/>
      <c r="FDN2" s="235"/>
      <c r="FDO2" s="235"/>
      <c r="FDP2" s="235"/>
      <c r="FDQ2" s="235"/>
      <c r="FDR2" s="235"/>
      <c r="FDS2" s="235"/>
      <c r="FDT2" s="235"/>
      <c r="FDU2" s="235"/>
      <c r="FDV2" s="235"/>
      <c r="FDW2" s="235"/>
      <c r="FDX2" s="235"/>
      <c r="FDY2" s="235"/>
      <c r="FDZ2" s="235"/>
      <c r="FEA2" s="235"/>
      <c r="FEB2" s="235"/>
      <c r="FEC2" s="235"/>
      <c r="FED2" s="235"/>
      <c r="FEE2" s="235"/>
      <c r="FEF2" s="235"/>
      <c r="FEG2" s="235"/>
      <c r="FEH2" s="235"/>
      <c r="FEI2" s="235"/>
      <c r="FEJ2" s="235"/>
      <c r="FEK2" s="235"/>
      <c r="FEL2" s="235"/>
      <c r="FEM2" s="235"/>
      <c r="FEN2" s="235"/>
      <c r="FEO2" s="235"/>
      <c r="FEP2" s="235"/>
      <c r="FEQ2" s="235"/>
      <c r="FER2" s="235"/>
      <c r="FES2" s="235"/>
      <c r="FET2" s="235"/>
      <c r="FEU2" s="235"/>
      <c r="FEV2" s="235"/>
      <c r="FEW2" s="235"/>
      <c r="FEX2" s="235"/>
      <c r="FEY2" s="235"/>
      <c r="FEZ2" s="235"/>
      <c r="FFA2" s="235"/>
      <c r="FFB2" s="235"/>
      <c r="FFC2" s="235"/>
      <c r="FFD2" s="235"/>
      <c r="FFE2" s="235"/>
      <c r="FFF2" s="235"/>
      <c r="FFG2" s="235"/>
      <c r="FFH2" s="235"/>
      <c r="FFI2" s="235"/>
      <c r="FFJ2" s="235"/>
      <c r="FFK2" s="235"/>
      <c r="FFL2" s="235"/>
      <c r="FFM2" s="235"/>
      <c r="FFN2" s="235"/>
      <c r="FFO2" s="235"/>
      <c r="FFP2" s="235"/>
      <c r="FFQ2" s="235"/>
      <c r="FFR2" s="235"/>
      <c r="FFS2" s="235"/>
      <c r="FFT2" s="235"/>
      <c r="FFU2" s="235"/>
      <c r="FFV2" s="235"/>
      <c r="FFW2" s="235"/>
      <c r="FFX2" s="235"/>
      <c r="FFY2" s="235"/>
      <c r="FFZ2" s="235"/>
      <c r="FGA2" s="235"/>
      <c r="FGB2" s="235"/>
      <c r="FGC2" s="235"/>
      <c r="FGD2" s="235"/>
      <c r="FGE2" s="235"/>
      <c r="FGF2" s="235"/>
      <c r="FGG2" s="235"/>
      <c r="FGH2" s="235"/>
      <c r="FGI2" s="235"/>
      <c r="FGJ2" s="235"/>
      <c r="FGK2" s="235"/>
      <c r="FGL2" s="235"/>
      <c r="FGM2" s="235"/>
      <c r="FGN2" s="235"/>
      <c r="FGO2" s="235"/>
      <c r="FGP2" s="235"/>
      <c r="FGQ2" s="235"/>
      <c r="FGR2" s="235"/>
      <c r="FGS2" s="235"/>
      <c r="FGT2" s="235"/>
      <c r="FGU2" s="235"/>
      <c r="FGV2" s="235"/>
      <c r="FGW2" s="235"/>
      <c r="FGX2" s="235"/>
      <c r="FGY2" s="235"/>
      <c r="FGZ2" s="235"/>
      <c r="FHA2" s="235"/>
      <c r="FHB2" s="235"/>
      <c r="FHC2" s="235"/>
      <c r="FHD2" s="235"/>
      <c r="FHE2" s="235"/>
      <c r="FHF2" s="235"/>
      <c r="FHG2" s="235"/>
      <c r="FHH2" s="235"/>
      <c r="FHI2" s="235"/>
      <c r="FHJ2" s="235"/>
      <c r="FHK2" s="235"/>
      <c r="FHL2" s="235"/>
      <c r="FHM2" s="235"/>
      <c r="FHN2" s="235"/>
      <c r="FHO2" s="235"/>
      <c r="FHP2" s="235"/>
      <c r="FHQ2" s="235"/>
      <c r="FHR2" s="235"/>
      <c r="FHS2" s="235"/>
      <c r="FHT2" s="235"/>
      <c r="FHU2" s="235"/>
      <c r="FHV2" s="235"/>
      <c r="FHW2" s="235"/>
      <c r="FHX2" s="235"/>
      <c r="FHY2" s="235"/>
      <c r="FHZ2" s="235"/>
      <c r="FIA2" s="235"/>
      <c r="FIB2" s="235"/>
      <c r="FIC2" s="235"/>
      <c r="FID2" s="235"/>
      <c r="FIE2" s="235"/>
      <c r="FIF2" s="235"/>
      <c r="FIG2" s="235"/>
      <c r="FIH2" s="235"/>
      <c r="FII2" s="235"/>
      <c r="FIJ2" s="235"/>
      <c r="FIK2" s="235"/>
      <c r="FIL2" s="235"/>
      <c r="FIM2" s="235"/>
      <c r="FIN2" s="235"/>
      <c r="FIO2" s="235"/>
      <c r="FIP2" s="235"/>
      <c r="FIQ2" s="235"/>
      <c r="FIR2" s="235"/>
      <c r="FIS2" s="235"/>
      <c r="FIT2" s="235"/>
      <c r="FIU2" s="235"/>
      <c r="FIV2" s="235"/>
      <c r="FIW2" s="235"/>
      <c r="FIX2" s="235"/>
      <c r="FIY2" s="235"/>
      <c r="FIZ2" s="235"/>
      <c r="FJA2" s="235"/>
      <c r="FJB2" s="235"/>
      <c r="FJC2" s="235"/>
      <c r="FJD2" s="235"/>
      <c r="FJE2" s="235"/>
      <c r="FJF2" s="235"/>
      <c r="FJG2" s="235"/>
      <c r="FJH2" s="235"/>
      <c r="FJI2" s="235"/>
      <c r="FJJ2" s="235"/>
      <c r="FJK2" s="235"/>
      <c r="FJL2" s="235"/>
      <c r="FJM2" s="235"/>
      <c r="FJN2" s="235"/>
      <c r="FJO2" s="235"/>
      <c r="FJP2" s="235"/>
      <c r="FJQ2" s="235"/>
      <c r="FJR2" s="235"/>
      <c r="FJS2" s="235"/>
      <c r="FJT2" s="235"/>
      <c r="FJU2" s="235"/>
      <c r="FJV2" s="235"/>
      <c r="FJW2" s="235"/>
      <c r="FJX2" s="235"/>
      <c r="FJY2" s="235"/>
      <c r="FJZ2" s="235"/>
      <c r="FKA2" s="235"/>
      <c r="FKB2" s="235"/>
      <c r="FKC2" s="235"/>
      <c r="FKD2" s="235"/>
      <c r="FKE2" s="235"/>
      <c r="FKF2" s="235"/>
      <c r="FKG2" s="235"/>
      <c r="FKH2" s="235"/>
      <c r="FKI2" s="235"/>
      <c r="FKJ2" s="235"/>
      <c r="FKK2" s="235"/>
      <c r="FKL2" s="235"/>
      <c r="FKM2" s="235"/>
      <c r="FKN2" s="235"/>
      <c r="FKO2" s="235"/>
      <c r="FKP2" s="235"/>
      <c r="FKQ2" s="235"/>
      <c r="FKR2" s="235"/>
      <c r="FKS2" s="235"/>
      <c r="FKT2" s="235"/>
      <c r="FKU2" s="235"/>
      <c r="FKV2" s="235"/>
      <c r="FKW2" s="235"/>
      <c r="FKX2" s="235"/>
      <c r="FKY2" s="235"/>
      <c r="FKZ2" s="235"/>
      <c r="FLA2" s="235"/>
      <c r="FLB2" s="235"/>
      <c r="FLC2" s="235"/>
      <c r="FLD2" s="235"/>
      <c r="FLE2" s="235"/>
      <c r="FLF2" s="235"/>
      <c r="FLG2" s="235"/>
      <c r="FLH2" s="235"/>
      <c r="FLI2" s="235"/>
      <c r="FLJ2" s="235"/>
      <c r="FLK2" s="235"/>
      <c r="FLL2" s="235"/>
      <c r="FLM2" s="235"/>
      <c r="FLN2" s="235"/>
      <c r="FLO2" s="235"/>
      <c r="FLP2" s="235"/>
      <c r="FLQ2" s="235"/>
      <c r="FLR2" s="235"/>
      <c r="FLS2" s="235"/>
      <c r="FLT2" s="235"/>
      <c r="FLU2" s="235"/>
      <c r="FLV2" s="235"/>
      <c r="FLW2" s="235"/>
      <c r="FLX2" s="235"/>
      <c r="FLY2" s="235"/>
      <c r="FLZ2" s="235"/>
      <c r="FMA2" s="235"/>
      <c r="FMB2" s="235"/>
      <c r="FMC2" s="235"/>
      <c r="FMD2" s="235"/>
      <c r="FME2" s="235"/>
      <c r="FMF2" s="235"/>
      <c r="FMG2" s="235"/>
      <c r="FMH2" s="235"/>
      <c r="FMI2" s="235"/>
      <c r="FMJ2" s="235"/>
      <c r="FMK2" s="235"/>
      <c r="FML2" s="235"/>
      <c r="FMM2" s="235"/>
      <c r="FMN2" s="235"/>
      <c r="FMO2" s="235"/>
      <c r="FMP2" s="235"/>
      <c r="FMQ2" s="235"/>
      <c r="FMR2" s="235"/>
      <c r="FMS2" s="235"/>
      <c r="FMT2" s="235"/>
      <c r="FMU2" s="235"/>
      <c r="FMV2" s="235"/>
      <c r="FMW2" s="235"/>
      <c r="FMX2" s="235"/>
      <c r="FMY2" s="235"/>
      <c r="FMZ2" s="235"/>
      <c r="FNA2" s="235"/>
      <c r="FNB2" s="235"/>
      <c r="FNC2" s="235"/>
      <c r="FND2" s="235"/>
      <c r="FNE2" s="235"/>
      <c r="FNF2" s="235"/>
      <c r="FNG2" s="235"/>
      <c r="FNH2" s="235"/>
      <c r="FNI2" s="235"/>
      <c r="FNJ2" s="235"/>
      <c r="FNK2" s="235"/>
      <c r="FNL2" s="235"/>
      <c r="FNM2" s="235"/>
      <c r="FNN2" s="235"/>
      <c r="FNO2" s="235"/>
      <c r="FNP2" s="235"/>
      <c r="FNQ2" s="235"/>
      <c r="FNR2" s="235"/>
      <c r="FNS2" s="235"/>
      <c r="FNT2" s="235"/>
      <c r="FNU2" s="235"/>
      <c r="FNV2" s="235"/>
      <c r="FNW2" s="235"/>
      <c r="FNX2" s="235"/>
      <c r="FNY2" s="235"/>
      <c r="FNZ2" s="235"/>
      <c r="FOA2" s="235"/>
      <c r="FOB2" s="235"/>
      <c r="FOC2" s="235"/>
      <c r="FOD2" s="235"/>
      <c r="FOE2" s="235"/>
      <c r="FOF2" s="235"/>
      <c r="FOG2" s="235"/>
      <c r="FOH2" s="235"/>
      <c r="FOI2" s="235"/>
      <c r="FOJ2" s="235"/>
      <c r="FOK2" s="235"/>
      <c r="FOL2" s="235"/>
      <c r="FOM2" s="235"/>
      <c r="FON2" s="235"/>
      <c r="FOO2" s="235"/>
      <c r="FOP2" s="235"/>
      <c r="FOQ2" s="235"/>
      <c r="FOR2" s="235"/>
      <c r="FOS2" s="235"/>
      <c r="FOT2" s="235"/>
      <c r="FOU2" s="235"/>
      <c r="FOV2" s="235"/>
      <c r="FOW2" s="235"/>
      <c r="FOX2" s="235"/>
      <c r="FOY2" s="235"/>
      <c r="FOZ2" s="235"/>
      <c r="FPA2" s="235"/>
      <c r="FPB2" s="235"/>
      <c r="FPC2" s="235"/>
      <c r="FPD2" s="235"/>
      <c r="FPE2" s="235"/>
      <c r="FPF2" s="235"/>
      <c r="FPG2" s="235"/>
      <c r="FPH2" s="235"/>
      <c r="FPI2" s="235"/>
      <c r="FPJ2" s="235"/>
      <c r="FPK2" s="235"/>
      <c r="FPL2" s="235"/>
      <c r="FPM2" s="235"/>
      <c r="FPN2" s="235"/>
      <c r="FPO2" s="235"/>
      <c r="FPP2" s="235"/>
      <c r="FPQ2" s="235"/>
      <c r="FPR2" s="235"/>
      <c r="FPS2" s="235"/>
      <c r="FPT2" s="235"/>
      <c r="FPU2" s="235"/>
      <c r="FPV2" s="235"/>
      <c r="FPW2" s="235"/>
      <c r="FPX2" s="235"/>
      <c r="FPY2" s="235"/>
      <c r="FPZ2" s="235"/>
      <c r="FQA2" s="235"/>
      <c r="FQB2" s="235"/>
      <c r="FQC2" s="235"/>
      <c r="FQD2" s="235"/>
      <c r="FQE2" s="235"/>
      <c r="FQF2" s="235"/>
      <c r="FQG2" s="235"/>
      <c r="FQH2" s="235"/>
      <c r="FQI2" s="235"/>
      <c r="FQJ2" s="235"/>
      <c r="FQK2" s="235"/>
      <c r="FQL2" s="235"/>
      <c r="FQM2" s="235"/>
      <c r="FQN2" s="235"/>
      <c r="FQO2" s="235"/>
      <c r="FQP2" s="235"/>
      <c r="FQQ2" s="235"/>
      <c r="FQR2" s="235"/>
      <c r="FQS2" s="235"/>
      <c r="FQT2" s="235"/>
      <c r="FQU2" s="235"/>
      <c r="FQV2" s="235"/>
      <c r="FQW2" s="235"/>
      <c r="FQX2" s="235"/>
      <c r="FQY2" s="235"/>
      <c r="FQZ2" s="235"/>
      <c r="FRA2" s="235"/>
      <c r="FRB2" s="235"/>
      <c r="FRC2" s="235"/>
      <c r="FRD2" s="235"/>
      <c r="FRE2" s="235"/>
      <c r="FRF2" s="235"/>
      <c r="FRG2" s="235"/>
      <c r="FRH2" s="235"/>
      <c r="FRI2" s="235"/>
      <c r="FRJ2" s="235"/>
      <c r="FRK2" s="235"/>
      <c r="FRL2" s="235"/>
      <c r="FRM2" s="235"/>
      <c r="FRN2" s="235"/>
      <c r="FRO2" s="235"/>
      <c r="FRP2" s="235"/>
      <c r="FRQ2" s="235"/>
      <c r="FRR2" s="235"/>
      <c r="FRS2" s="235"/>
      <c r="FRT2" s="235"/>
      <c r="FRU2" s="235"/>
      <c r="FRV2" s="235"/>
      <c r="FRW2" s="235"/>
      <c r="FRX2" s="235"/>
      <c r="FRY2" s="235"/>
      <c r="FRZ2" s="235"/>
      <c r="FSA2" s="235"/>
      <c r="FSB2" s="235"/>
      <c r="FSC2" s="235"/>
      <c r="FSD2" s="235"/>
      <c r="FSE2" s="235"/>
      <c r="FSF2" s="235"/>
      <c r="FSG2" s="235"/>
      <c r="FSH2" s="235"/>
      <c r="FSI2" s="235"/>
      <c r="FSJ2" s="235"/>
      <c r="FSK2" s="235"/>
      <c r="FSL2" s="235"/>
      <c r="FSM2" s="235"/>
      <c r="FSN2" s="235"/>
      <c r="FSO2" s="235"/>
      <c r="FSP2" s="235"/>
      <c r="FSQ2" s="235"/>
      <c r="FSR2" s="235"/>
      <c r="FSS2" s="235"/>
      <c r="FST2" s="235"/>
      <c r="FSU2" s="235"/>
      <c r="FSV2" s="235"/>
      <c r="FSW2" s="235"/>
      <c r="FSX2" s="235"/>
      <c r="FSY2" s="235"/>
      <c r="FSZ2" s="235"/>
      <c r="FTA2" s="235"/>
      <c r="FTB2" s="235"/>
      <c r="FTC2" s="235"/>
      <c r="FTD2" s="235"/>
      <c r="FTE2" s="235"/>
      <c r="FTF2" s="235"/>
      <c r="FTG2" s="235"/>
      <c r="FTH2" s="235"/>
      <c r="FTI2" s="235"/>
      <c r="FTJ2" s="235"/>
      <c r="FTK2" s="235"/>
      <c r="FTL2" s="235"/>
      <c r="FTM2" s="235"/>
      <c r="FTN2" s="235"/>
      <c r="FTO2" s="235"/>
      <c r="FTP2" s="235"/>
      <c r="FTQ2" s="235"/>
      <c r="FTR2" s="235"/>
      <c r="FTS2" s="235"/>
      <c r="FTT2" s="235"/>
      <c r="FTU2" s="235"/>
      <c r="FTV2" s="235"/>
      <c r="FTW2" s="235"/>
      <c r="FTX2" s="235"/>
      <c r="FTY2" s="235"/>
      <c r="FTZ2" s="235"/>
      <c r="FUA2" s="235"/>
      <c r="FUB2" s="235"/>
      <c r="FUC2" s="235"/>
      <c r="FUD2" s="235"/>
      <c r="FUE2" s="235"/>
      <c r="FUF2" s="235"/>
      <c r="FUG2" s="235"/>
      <c r="FUH2" s="235"/>
      <c r="FUI2" s="235"/>
      <c r="FUJ2" s="235"/>
      <c r="FUK2" s="235"/>
      <c r="FUL2" s="235"/>
      <c r="FUM2" s="235"/>
      <c r="FUN2" s="235"/>
      <c r="FUO2" s="235"/>
      <c r="FUP2" s="235"/>
      <c r="FUQ2" s="235"/>
      <c r="FUR2" s="235"/>
      <c r="FUS2" s="235"/>
      <c r="FUT2" s="235"/>
      <c r="FUU2" s="235"/>
      <c r="FUV2" s="235"/>
      <c r="FUW2" s="235"/>
      <c r="FUX2" s="235"/>
      <c r="FUY2" s="235"/>
      <c r="FUZ2" s="235"/>
      <c r="FVA2" s="235"/>
      <c r="FVB2" s="235"/>
      <c r="FVC2" s="235"/>
      <c r="FVD2" s="235"/>
      <c r="FVE2" s="235"/>
      <c r="FVF2" s="235"/>
      <c r="FVG2" s="235"/>
      <c r="FVH2" s="235"/>
      <c r="FVI2" s="235"/>
      <c r="FVJ2" s="235"/>
      <c r="FVK2" s="235"/>
      <c r="FVL2" s="235"/>
      <c r="FVM2" s="235"/>
      <c r="FVN2" s="235"/>
      <c r="FVO2" s="235"/>
      <c r="FVP2" s="235"/>
      <c r="FVQ2" s="235"/>
      <c r="FVR2" s="235"/>
      <c r="FVS2" s="235"/>
      <c r="FVT2" s="235"/>
      <c r="FVU2" s="235"/>
      <c r="FVV2" s="235"/>
      <c r="FVW2" s="235"/>
      <c r="FVX2" s="235"/>
      <c r="FVY2" s="235"/>
      <c r="FVZ2" s="235"/>
      <c r="FWA2" s="235"/>
      <c r="FWB2" s="235"/>
      <c r="FWC2" s="235"/>
      <c r="FWD2" s="235"/>
      <c r="FWE2" s="235"/>
      <c r="FWF2" s="235"/>
      <c r="FWG2" s="235"/>
      <c r="FWH2" s="235"/>
      <c r="FWI2" s="235"/>
      <c r="FWJ2" s="235"/>
      <c r="FWK2" s="235"/>
      <c r="FWL2" s="235"/>
      <c r="FWM2" s="235"/>
      <c r="FWN2" s="235"/>
      <c r="FWO2" s="235"/>
      <c r="FWP2" s="235"/>
      <c r="FWQ2" s="235"/>
      <c r="FWR2" s="235"/>
      <c r="FWS2" s="235"/>
      <c r="FWT2" s="235"/>
      <c r="FWU2" s="235"/>
      <c r="FWV2" s="235"/>
      <c r="FWW2" s="235"/>
      <c r="FWX2" s="235"/>
      <c r="FWY2" s="235"/>
      <c r="FWZ2" s="235"/>
      <c r="FXA2" s="235"/>
      <c r="FXB2" s="235"/>
      <c r="FXC2" s="235"/>
      <c r="FXD2" s="235"/>
      <c r="FXE2" s="235"/>
      <c r="FXF2" s="235"/>
      <c r="FXG2" s="235"/>
      <c r="FXH2" s="235"/>
      <c r="FXI2" s="235"/>
      <c r="FXJ2" s="235"/>
      <c r="FXK2" s="235"/>
      <c r="FXL2" s="235"/>
      <c r="FXM2" s="235"/>
      <c r="FXN2" s="235"/>
      <c r="FXO2" s="235"/>
      <c r="FXP2" s="235"/>
      <c r="FXQ2" s="235"/>
      <c r="FXR2" s="235"/>
      <c r="FXS2" s="235"/>
      <c r="FXT2" s="235"/>
      <c r="FXU2" s="235"/>
      <c r="FXV2" s="235"/>
      <c r="FXW2" s="235"/>
      <c r="FXX2" s="235"/>
      <c r="FXY2" s="235"/>
      <c r="FXZ2" s="235"/>
      <c r="FYA2" s="235"/>
      <c r="FYB2" s="235"/>
      <c r="FYC2" s="235"/>
      <c r="FYD2" s="235"/>
      <c r="FYE2" s="235"/>
      <c r="FYF2" s="235"/>
      <c r="FYG2" s="235"/>
      <c r="FYH2" s="235"/>
      <c r="FYI2" s="235"/>
      <c r="FYJ2" s="235"/>
      <c r="FYK2" s="235"/>
      <c r="FYL2" s="235"/>
      <c r="FYM2" s="235"/>
      <c r="FYN2" s="235"/>
      <c r="FYO2" s="235"/>
      <c r="FYP2" s="235"/>
      <c r="FYQ2" s="235"/>
      <c r="FYR2" s="235"/>
      <c r="FYS2" s="235"/>
      <c r="FYT2" s="235"/>
      <c r="FYU2" s="235"/>
      <c r="FYV2" s="235"/>
      <c r="FYW2" s="235"/>
      <c r="FYX2" s="235"/>
      <c r="FYY2" s="235"/>
      <c r="FYZ2" s="235"/>
      <c r="FZA2" s="235"/>
      <c r="FZB2" s="235"/>
      <c r="FZC2" s="235"/>
      <c r="FZD2" s="235"/>
      <c r="FZE2" s="235"/>
      <c r="FZF2" s="235"/>
      <c r="FZG2" s="235"/>
      <c r="FZH2" s="235"/>
      <c r="FZI2" s="235"/>
      <c r="FZJ2" s="235"/>
      <c r="FZK2" s="235"/>
      <c r="FZL2" s="235"/>
      <c r="FZM2" s="235"/>
      <c r="FZN2" s="235"/>
      <c r="FZO2" s="235"/>
      <c r="FZP2" s="235"/>
      <c r="FZQ2" s="235"/>
      <c r="FZR2" s="235"/>
      <c r="FZS2" s="235"/>
      <c r="FZT2" s="235"/>
      <c r="FZU2" s="235"/>
      <c r="FZV2" s="235"/>
      <c r="FZW2" s="235"/>
      <c r="FZX2" s="235"/>
      <c r="FZY2" s="235"/>
      <c r="FZZ2" s="235"/>
      <c r="GAA2" s="235"/>
      <c r="GAB2" s="235"/>
      <c r="GAC2" s="235"/>
      <c r="GAD2" s="235"/>
      <c r="GAE2" s="235"/>
      <c r="GAF2" s="235"/>
      <c r="GAG2" s="235"/>
      <c r="GAH2" s="235"/>
      <c r="GAI2" s="235"/>
      <c r="GAJ2" s="235"/>
      <c r="GAK2" s="235"/>
      <c r="GAL2" s="235"/>
      <c r="GAM2" s="235"/>
      <c r="GAN2" s="235"/>
      <c r="GAO2" s="235"/>
      <c r="GAP2" s="235"/>
      <c r="GAQ2" s="235"/>
      <c r="GAR2" s="235"/>
      <c r="GAS2" s="235"/>
      <c r="GAT2" s="235"/>
      <c r="GAU2" s="235"/>
      <c r="GAV2" s="235"/>
      <c r="GAW2" s="235"/>
      <c r="GAX2" s="235"/>
      <c r="GAY2" s="235"/>
      <c r="GAZ2" s="235"/>
      <c r="GBA2" s="235"/>
      <c r="GBB2" s="235"/>
      <c r="GBC2" s="235"/>
      <c r="GBD2" s="235"/>
      <c r="GBE2" s="235"/>
      <c r="GBF2" s="235"/>
      <c r="GBG2" s="235"/>
      <c r="GBH2" s="235"/>
      <c r="GBI2" s="235"/>
      <c r="GBJ2" s="235"/>
      <c r="GBK2" s="235"/>
      <c r="GBL2" s="235"/>
      <c r="GBM2" s="235"/>
      <c r="GBN2" s="235"/>
      <c r="GBO2" s="235"/>
      <c r="GBP2" s="235"/>
      <c r="GBQ2" s="235"/>
      <c r="GBR2" s="235"/>
      <c r="GBS2" s="235"/>
      <c r="GBT2" s="235"/>
      <c r="GBU2" s="235"/>
      <c r="GBV2" s="235"/>
      <c r="GBW2" s="235"/>
      <c r="GBX2" s="235"/>
      <c r="GBY2" s="235"/>
      <c r="GBZ2" s="235"/>
      <c r="GCA2" s="235"/>
      <c r="GCB2" s="235"/>
      <c r="GCC2" s="235"/>
      <c r="GCD2" s="235"/>
      <c r="GCE2" s="235"/>
      <c r="GCF2" s="235"/>
      <c r="GCG2" s="235"/>
      <c r="GCH2" s="235"/>
      <c r="GCI2" s="235"/>
      <c r="GCJ2" s="235"/>
      <c r="GCK2" s="235"/>
      <c r="GCL2" s="235"/>
      <c r="GCM2" s="235"/>
      <c r="GCN2" s="235"/>
      <c r="GCO2" s="235"/>
      <c r="GCP2" s="235"/>
      <c r="GCQ2" s="235"/>
      <c r="GCR2" s="235"/>
      <c r="GCS2" s="235"/>
      <c r="GCT2" s="235"/>
      <c r="GCU2" s="235"/>
      <c r="GCV2" s="235"/>
      <c r="GCW2" s="235"/>
      <c r="GCX2" s="235"/>
      <c r="GCY2" s="235"/>
      <c r="GCZ2" s="235"/>
      <c r="GDA2" s="235"/>
      <c r="GDB2" s="235"/>
      <c r="GDC2" s="235"/>
      <c r="GDD2" s="235"/>
      <c r="GDE2" s="235"/>
      <c r="GDF2" s="235"/>
      <c r="GDG2" s="235"/>
      <c r="GDH2" s="235"/>
      <c r="GDI2" s="235"/>
      <c r="GDJ2" s="235"/>
      <c r="GDK2" s="235"/>
      <c r="GDL2" s="235"/>
      <c r="GDM2" s="235"/>
      <c r="GDN2" s="235"/>
      <c r="GDO2" s="235"/>
      <c r="GDP2" s="235"/>
      <c r="GDQ2" s="235"/>
      <c r="GDR2" s="235"/>
      <c r="GDS2" s="235"/>
      <c r="GDT2" s="235"/>
      <c r="GDU2" s="235"/>
      <c r="GDV2" s="235"/>
      <c r="GDW2" s="235"/>
      <c r="GDX2" s="235"/>
      <c r="GDY2" s="235"/>
      <c r="GDZ2" s="235"/>
      <c r="GEA2" s="235"/>
      <c r="GEB2" s="235"/>
      <c r="GEC2" s="235"/>
      <c r="GED2" s="235"/>
      <c r="GEE2" s="235"/>
      <c r="GEF2" s="235"/>
      <c r="GEG2" s="235"/>
      <c r="GEH2" s="235"/>
      <c r="GEI2" s="235"/>
      <c r="GEJ2" s="235"/>
      <c r="GEK2" s="235"/>
      <c r="GEL2" s="235"/>
      <c r="GEM2" s="235"/>
      <c r="GEN2" s="235"/>
      <c r="GEO2" s="235"/>
      <c r="GEP2" s="235"/>
      <c r="GEQ2" s="235"/>
      <c r="GER2" s="235"/>
      <c r="GES2" s="235"/>
      <c r="GET2" s="235"/>
      <c r="GEU2" s="235"/>
      <c r="GEV2" s="235"/>
      <c r="GEW2" s="235"/>
      <c r="GEX2" s="235"/>
      <c r="GEY2" s="235"/>
      <c r="GEZ2" s="235"/>
      <c r="GFA2" s="235"/>
      <c r="GFB2" s="235"/>
      <c r="GFC2" s="235"/>
      <c r="GFD2" s="235"/>
      <c r="GFE2" s="235"/>
      <c r="GFF2" s="235"/>
      <c r="GFG2" s="235"/>
      <c r="GFH2" s="235"/>
      <c r="GFI2" s="235"/>
      <c r="GFJ2" s="235"/>
      <c r="GFK2" s="235"/>
      <c r="GFL2" s="235"/>
      <c r="GFM2" s="235"/>
      <c r="GFN2" s="235"/>
      <c r="GFO2" s="235"/>
      <c r="GFP2" s="235"/>
      <c r="GFQ2" s="235"/>
      <c r="GFR2" s="235"/>
      <c r="GFS2" s="235"/>
      <c r="GFT2" s="235"/>
      <c r="GFU2" s="235"/>
      <c r="GFV2" s="235"/>
      <c r="GFW2" s="235"/>
      <c r="GFX2" s="235"/>
      <c r="GFY2" s="235"/>
      <c r="GFZ2" s="235"/>
      <c r="GGA2" s="235"/>
      <c r="GGB2" s="235"/>
      <c r="GGC2" s="235"/>
      <c r="GGD2" s="235"/>
      <c r="GGE2" s="235"/>
      <c r="GGF2" s="235"/>
      <c r="GGG2" s="235"/>
      <c r="GGH2" s="235"/>
      <c r="GGI2" s="235"/>
      <c r="GGJ2" s="235"/>
      <c r="GGK2" s="235"/>
      <c r="GGL2" s="235"/>
      <c r="GGM2" s="235"/>
      <c r="GGN2" s="235"/>
      <c r="GGO2" s="235"/>
      <c r="GGP2" s="235"/>
      <c r="GGQ2" s="235"/>
      <c r="GGR2" s="235"/>
      <c r="GGS2" s="235"/>
      <c r="GGT2" s="235"/>
      <c r="GGU2" s="235"/>
      <c r="GGV2" s="235"/>
      <c r="GGW2" s="235"/>
      <c r="GGX2" s="235"/>
      <c r="GGY2" s="235"/>
      <c r="GGZ2" s="235"/>
      <c r="GHA2" s="235"/>
      <c r="GHB2" s="235"/>
      <c r="GHC2" s="235"/>
      <c r="GHD2" s="235"/>
      <c r="GHE2" s="235"/>
      <c r="GHF2" s="235"/>
      <c r="GHG2" s="235"/>
      <c r="GHH2" s="235"/>
      <c r="GHI2" s="235"/>
      <c r="GHJ2" s="235"/>
      <c r="GHK2" s="235"/>
      <c r="GHL2" s="235"/>
      <c r="GHM2" s="235"/>
      <c r="GHN2" s="235"/>
      <c r="GHO2" s="235"/>
      <c r="GHP2" s="235"/>
      <c r="GHQ2" s="235"/>
      <c r="GHR2" s="235"/>
      <c r="GHS2" s="235"/>
      <c r="GHT2" s="235"/>
      <c r="GHU2" s="235"/>
      <c r="GHV2" s="235"/>
      <c r="GHW2" s="235"/>
      <c r="GHX2" s="235"/>
      <c r="GHY2" s="235"/>
      <c r="GHZ2" s="235"/>
      <c r="GIA2" s="235"/>
      <c r="GIB2" s="235"/>
      <c r="GIC2" s="235"/>
      <c r="GID2" s="235"/>
      <c r="GIE2" s="235"/>
      <c r="GIF2" s="235"/>
      <c r="GIG2" s="235"/>
      <c r="GIH2" s="235"/>
      <c r="GII2" s="235"/>
      <c r="GIJ2" s="235"/>
      <c r="GIK2" s="235"/>
      <c r="GIL2" s="235"/>
      <c r="GIM2" s="235"/>
      <c r="GIN2" s="235"/>
      <c r="GIO2" s="235"/>
      <c r="GIP2" s="235"/>
      <c r="GIQ2" s="235"/>
      <c r="GIR2" s="235"/>
      <c r="GIS2" s="235"/>
      <c r="GIT2" s="235"/>
      <c r="GIU2" s="235"/>
      <c r="GIV2" s="235"/>
      <c r="GIW2" s="235"/>
      <c r="GIX2" s="235"/>
      <c r="GIY2" s="235"/>
      <c r="GIZ2" s="235"/>
      <c r="GJA2" s="235"/>
      <c r="GJB2" s="235"/>
      <c r="GJC2" s="235"/>
      <c r="GJD2" s="235"/>
      <c r="GJE2" s="235"/>
      <c r="GJF2" s="235"/>
      <c r="GJG2" s="235"/>
      <c r="GJH2" s="235"/>
      <c r="GJI2" s="235"/>
      <c r="GJJ2" s="235"/>
      <c r="GJK2" s="235"/>
      <c r="GJL2" s="235"/>
      <c r="GJM2" s="235"/>
      <c r="GJN2" s="235"/>
      <c r="GJO2" s="235"/>
      <c r="GJP2" s="235"/>
      <c r="GJQ2" s="235"/>
      <c r="GJR2" s="235"/>
      <c r="GJS2" s="235"/>
      <c r="GJT2" s="235"/>
      <c r="GJU2" s="235"/>
      <c r="GJV2" s="235"/>
      <c r="GJW2" s="235"/>
      <c r="GJX2" s="235"/>
      <c r="GJY2" s="235"/>
      <c r="GJZ2" s="235"/>
      <c r="GKA2" s="235"/>
      <c r="GKB2" s="235"/>
      <c r="GKC2" s="235"/>
      <c r="GKD2" s="235"/>
      <c r="GKE2" s="235"/>
      <c r="GKF2" s="235"/>
      <c r="GKG2" s="235"/>
      <c r="GKH2" s="235"/>
      <c r="GKI2" s="235"/>
      <c r="GKJ2" s="235"/>
      <c r="GKK2" s="235"/>
      <c r="GKL2" s="235"/>
      <c r="GKM2" s="235"/>
      <c r="GKN2" s="235"/>
      <c r="GKO2" s="235"/>
      <c r="GKP2" s="235"/>
      <c r="GKQ2" s="235"/>
      <c r="GKR2" s="235"/>
      <c r="GKS2" s="235"/>
      <c r="GKT2" s="235"/>
      <c r="GKU2" s="235"/>
      <c r="GKV2" s="235"/>
      <c r="GKW2" s="235"/>
      <c r="GKX2" s="235"/>
      <c r="GKY2" s="235"/>
      <c r="GKZ2" s="235"/>
      <c r="GLA2" s="235"/>
      <c r="GLB2" s="235"/>
      <c r="GLC2" s="235"/>
      <c r="GLD2" s="235"/>
      <c r="GLE2" s="235"/>
      <c r="GLF2" s="235"/>
      <c r="GLG2" s="235"/>
      <c r="GLH2" s="235"/>
      <c r="GLI2" s="235"/>
      <c r="GLJ2" s="235"/>
      <c r="GLK2" s="235"/>
      <c r="GLL2" s="235"/>
      <c r="GLM2" s="235"/>
      <c r="GLN2" s="235"/>
      <c r="GLO2" s="235"/>
      <c r="GLP2" s="235"/>
      <c r="GLQ2" s="235"/>
      <c r="GLR2" s="235"/>
      <c r="GLS2" s="235"/>
      <c r="GLT2" s="235"/>
      <c r="GLU2" s="235"/>
      <c r="GLV2" s="235"/>
      <c r="GLW2" s="235"/>
      <c r="GLX2" s="235"/>
      <c r="GLY2" s="235"/>
      <c r="GLZ2" s="235"/>
      <c r="GMA2" s="235"/>
      <c r="GMB2" s="235"/>
      <c r="GMC2" s="235"/>
      <c r="GMD2" s="235"/>
      <c r="GME2" s="235"/>
      <c r="GMF2" s="235"/>
      <c r="GMG2" s="235"/>
      <c r="GMH2" s="235"/>
      <c r="GMI2" s="235"/>
      <c r="GMJ2" s="235"/>
      <c r="GMK2" s="235"/>
      <c r="GML2" s="235"/>
      <c r="GMM2" s="235"/>
      <c r="GMN2" s="235"/>
      <c r="GMO2" s="235"/>
      <c r="GMP2" s="235"/>
      <c r="GMQ2" s="235"/>
      <c r="GMR2" s="235"/>
      <c r="GMS2" s="235"/>
      <c r="GMT2" s="235"/>
      <c r="GMU2" s="235"/>
      <c r="GMV2" s="235"/>
      <c r="GMW2" s="235"/>
      <c r="GMX2" s="235"/>
      <c r="GMY2" s="235"/>
      <c r="GMZ2" s="235"/>
      <c r="GNA2" s="235"/>
      <c r="GNB2" s="235"/>
      <c r="GNC2" s="235"/>
      <c r="GND2" s="235"/>
      <c r="GNE2" s="235"/>
      <c r="GNF2" s="235"/>
      <c r="GNG2" s="235"/>
      <c r="GNH2" s="235"/>
      <c r="GNI2" s="235"/>
      <c r="GNJ2" s="235"/>
      <c r="GNK2" s="235"/>
      <c r="GNL2" s="235"/>
      <c r="GNM2" s="235"/>
      <c r="GNN2" s="235"/>
      <c r="GNO2" s="235"/>
      <c r="GNP2" s="235"/>
      <c r="GNQ2" s="235"/>
      <c r="GNR2" s="235"/>
      <c r="GNS2" s="235"/>
      <c r="GNT2" s="235"/>
      <c r="GNU2" s="235"/>
      <c r="GNV2" s="235"/>
      <c r="GNW2" s="235"/>
      <c r="GNX2" s="235"/>
      <c r="GNY2" s="235"/>
      <c r="GNZ2" s="235"/>
      <c r="GOA2" s="235"/>
      <c r="GOB2" s="235"/>
      <c r="GOC2" s="235"/>
      <c r="GOD2" s="235"/>
      <c r="GOE2" s="235"/>
      <c r="GOF2" s="235"/>
      <c r="GOG2" s="235"/>
      <c r="GOH2" s="235"/>
      <c r="GOI2" s="235"/>
      <c r="GOJ2" s="235"/>
      <c r="GOK2" s="235"/>
      <c r="GOL2" s="235"/>
      <c r="GOM2" s="235"/>
      <c r="GON2" s="235"/>
      <c r="GOO2" s="235"/>
      <c r="GOP2" s="235"/>
      <c r="GOQ2" s="235"/>
      <c r="GOR2" s="235"/>
      <c r="GOS2" s="235"/>
      <c r="GOT2" s="235"/>
      <c r="GOU2" s="235"/>
      <c r="GOV2" s="235"/>
      <c r="GOW2" s="235"/>
      <c r="GOX2" s="235"/>
      <c r="GOY2" s="235"/>
      <c r="GOZ2" s="235"/>
      <c r="GPA2" s="235"/>
      <c r="GPB2" s="235"/>
      <c r="GPC2" s="235"/>
      <c r="GPD2" s="235"/>
      <c r="GPE2" s="235"/>
      <c r="GPF2" s="235"/>
      <c r="GPG2" s="235"/>
      <c r="GPH2" s="235"/>
      <c r="GPI2" s="235"/>
      <c r="GPJ2" s="235"/>
      <c r="GPK2" s="235"/>
      <c r="GPL2" s="235"/>
      <c r="GPM2" s="235"/>
      <c r="GPN2" s="235"/>
      <c r="GPO2" s="235"/>
      <c r="GPP2" s="235"/>
      <c r="GPQ2" s="235"/>
      <c r="GPR2" s="235"/>
      <c r="GPS2" s="235"/>
      <c r="GPT2" s="235"/>
      <c r="GPU2" s="235"/>
      <c r="GPV2" s="235"/>
      <c r="GPW2" s="235"/>
      <c r="GPX2" s="235"/>
      <c r="GPY2" s="235"/>
      <c r="GPZ2" s="235"/>
      <c r="GQA2" s="235"/>
      <c r="GQB2" s="235"/>
      <c r="GQC2" s="235"/>
      <c r="GQD2" s="235"/>
      <c r="GQE2" s="235"/>
      <c r="GQF2" s="235"/>
      <c r="GQG2" s="235"/>
      <c r="GQH2" s="235"/>
      <c r="GQI2" s="235"/>
      <c r="GQJ2" s="235"/>
      <c r="GQK2" s="235"/>
      <c r="GQL2" s="235"/>
      <c r="GQM2" s="235"/>
      <c r="GQN2" s="235"/>
      <c r="GQO2" s="235"/>
      <c r="GQP2" s="235"/>
      <c r="GQQ2" s="235"/>
      <c r="GQR2" s="235"/>
      <c r="GQS2" s="235"/>
      <c r="GQT2" s="235"/>
      <c r="GQU2" s="235"/>
      <c r="GQV2" s="235"/>
      <c r="GQW2" s="235"/>
      <c r="GQX2" s="235"/>
      <c r="GQY2" s="235"/>
      <c r="GQZ2" s="235"/>
      <c r="GRA2" s="235"/>
      <c r="GRB2" s="235"/>
      <c r="GRC2" s="235"/>
      <c r="GRD2" s="235"/>
      <c r="GRE2" s="235"/>
      <c r="GRF2" s="235"/>
      <c r="GRG2" s="235"/>
      <c r="GRH2" s="235"/>
      <c r="GRI2" s="235"/>
      <c r="GRJ2" s="235"/>
      <c r="GRK2" s="235"/>
      <c r="GRL2" s="235"/>
      <c r="GRM2" s="235"/>
      <c r="GRN2" s="235"/>
      <c r="GRO2" s="235"/>
      <c r="GRP2" s="235"/>
      <c r="GRQ2" s="235"/>
      <c r="GRR2" s="235"/>
      <c r="GRS2" s="235"/>
      <c r="GRT2" s="235"/>
      <c r="GRU2" s="235"/>
      <c r="GRV2" s="235"/>
      <c r="GRW2" s="235"/>
      <c r="GRX2" s="235"/>
      <c r="GRY2" s="235"/>
      <c r="GRZ2" s="235"/>
      <c r="GSA2" s="235"/>
      <c r="GSB2" s="235"/>
      <c r="GSC2" s="235"/>
      <c r="GSD2" s="235"/>
      <c r="GSE2" s="235"/>
      <c r="GSF2" s="235"/>
      <c r="GSG2" s="235"/>
      <c r="GSH2" s="235"/>
      <c r="GSI2" s="235"/>
      <c r="GSJ2" s="235"/>
      <c r="GSK2" s="235"/>
      <c r="GSL2" s="235"/>
      <c r="GSM2" s="235"/>
      <c r="GSN2" s="235"/>
      <c r="GSO2" s="235"/>
      <c r="GSP2" s="235"/>
      <c r="GSQ2" s="235"/>
      <c r="GSR2" s="235"/>
      <c r="GSS2" s="235"/>
      <c r="GST2" s="235"/>
      <c r="GSU2" s="235"/>
      <c r="GSV2" s="235"/>
      <c r="GSW2" s="235"/>
      <c r="GSX2" s="235"/>
      <c r="GSY2" s="235"/>
      <c r="GSZ2" s="235"/>
      <c r="GTA2" s="235"/>
      <c r="GTB2" s="235"/>
      <c r="GTC2" s="235"/>
      <c r="GTD2" s="235"/>
      <c r="GTE2" s="235"/>
      <c r="GTF2" s="235"/>
      <c r="GTG2" s="235"/>
      <c r="GTH2" s="235"/>
      <c r="GTI2" s="235"/>
      <c r="GTJ2" s="235"/>
      <c r="GTK2" s="235"/>
      <c r="GTL2" s="235"/>
      <c r="GTM2" s="235"/>
      <c r="GTN2" s="235"/>
      <c r="GTO2" s="235"/>
      <c r="GTP2" s="235"/>
      <c r="GTQ2" s="235"/>
      <c r="GTR2" s="235"/>
      <c r="GTS2" s="235"/>
      <c r="GTT2" s="235"/>
      <c r="GTU2" s="235"/>
      <c r="GTV2" s="235"/>
      <c r="GTW2" s="235"/>
      <c r="GTX2" s="235"/>
      <c r="GTY2" s="235"/>
      <c r="GTZ2" s="235"/>
      <c r="GUA2" s="235"/>
      <c r="GUB2" s="235"/>
      <c r="GUC2" s="235"/>
      <c r="GUD2" s="235"/>
      <c r="GUE2" s="235"/>
      <c r="GUF2" s="235"/>
      <c r="GUG2" s="235"/>
      <c r="GUH2" s="235"/>
      <c r="GUI2" s="235"/>
      <c r="GUJ2" s="235"/>
      <c r="GUK2" s="235"/>
      <c r="GUL2" s="235"/>
      <c r="GUM2" s="235"/>
      <c r="GUN2" s="235"/>
      <c r="GUO2" s="235"/>
      <c r="GUP2" s="235"/>
      <c r="GUQ2" s="235"/>
      <c r="GUR2" s="235"/>
      <c r="GUS2" s="235"/>
      <c r="GUT2" s="235"/>
      <c r="GUU2" s="235"/>
      <c r="GUV2" s="235"/>
      <c r="GUW2" s="235"/>
      <c r="GUX2" s="235"/>
      <c r="GUY2" s="235"/>
      <c r="GUZ2" s="235"/>
      <c r="GVA2" s="235"/>
      <c r="GVB2" s="235"/>
      <c r="GVC2" s="235"/>
      <c r="GVD2" s="235"/>
      <c r="GVE2" s="235"/>
      <c r="GVF2" s="235"/>
      <c r="GVG2" s="235"/>
      <c r="GVH2" s="235"/>
      <c r="GVI2" s="235"/>
      <c r="GVJ2" s="235"/>
      <c r="GVK2" s="235"/>
      <c r="GVL2" s="235"/>
      <c r="GVM2" s="235"/>
      <c r="GVN2" s="235"/>
      <c r="GVO2" s="235"/>
      <c r="GVP2" s="235"/>
      <c r="GVQ2" s="235"/>
      <c r="GVR2" s="235"/>
      <c r="GVS2" s="235"/>
      <c r="GVT2" s="235"/>
      <c r="GVU2" s="235"/>
      <c r="GVV2" s="235"/>
      <c r="GVW2" s="235"/>
      <c r="GVX2" s="235"/>
      <c r="GVY2" s="235"/>
      <c r="GVZ2" s="235"/>
      <c r="GWA2" s="235"/>
      <c r="GWB2" s="235"/>
      <c r="GWC2" s="235"/>
      <c r="GWD2" s="235"/>
      <c r="GWE2" s="235"/>
      <c r="GWF2" s="235"/>
      <c r="GWG2" s="235"/>
      <c r="GWH2" s="235"/>
      <c r="GWI2" s="235"/>
      <c r="GWJ2" s="235"/>
      <c r="GWK2" s="235"/>
      <c r="GWL2" s="235"/>
      <c r="GWM2" s="235"/>
      <c r="GWN2" s="235"/>
      <c r="GWO2" s="235"/>
      <c r="GWP2" s="235"/>
      <c r="GWQ2" s="235"/>
      <c r="GWR2" s="235"/>
      <c r="GWS2" s="235"/>
      <c r="GWT2" s="235"/>
      <c r="GWU2" s="235"/>
      <c r="GWV2" s="235"/>
      <c r="GWW2" s="235"/>
      <c r="GWX2" s="235"/>
      <c r="GWY2" s="235"/>
      <c r="GWZ2" s="235"/>
      <c r="GXA2" s="235"/>
      <c r="GXB2" s="235"/>
      <c r="GXC2" s="235"/>
      <c r="GXD2" s="235"/>
      <c r="GXE2" s="235"/>
      <c r="GXF2" s="235"/>
      <c r="GXG2" s="235"/>
      <c r="GXH2" s="235"/>
      <c r="GXI2" s="235"/>
      <c r="GXJ2" s="235"/>
      <c r="GXK2" s="235"/>
      <c r="GXL2" s="235"/>
      <c r="GXM2" s="235"/>
      <c r="GXN2" s="235"/>
      <c r="GXO2" s="235"/>
      <c r="GXP2" s="235"/>
      <c r="GXQ2" s="235"/>
      <c r="GXR2" s="235"/>
      <c r="GXS2" s="235"/>
      <c r="GXT2" s="235"/>
      <c r="GXU2" s="235"/>
      <c r="GXV2" s="235"/>
      <c r="GXW2" s="235"/>
      <c r="GXX2" s="235"/>
      <c r="GXY2" s="235"/>
      <c r="GXZ2" s="235"/>
      <c r="GYA2" s="235"/>
      <c r="GYB2" s="235"/>
      <c r="GYC2" s="235"/>
      <c r="GYD2" s="235"/>
      <c r="GYE2" s="235"/>
      <c r="GYF2" s="235"/>
      <c r="GYG2" s="235"/>
      <c r="GYH2" s="235"/>
      <c r="GYI2" s="235"/>
      <c r="GYJ2" s="235"/>
      <c r="GYK2" s="235"/>
      <c r="GYL2" s="235"/>
      <c r="GYM2" s="235"/>
      <c r="GYN2" s="235"/>
      <c r="GYO2" s="235"/>
      <c r="GYP2" s="235"/>
      <c r="GYQ2" s="235"/>
      <c r="GYR2" s="235"/>
      <c r="GYS2" s="235"/>
      <c r="GYT2" s="235"/>
      <c r="GYU2" s="235"/>
      <c r="GYV2" s="235"/>
      <c r="GYW2" s="235"/>
      <c r="GYX2" s="235"/>
      <c r="GYY2" s="235"/>
      <c r="GYZ2" s="235"/>
      <c r="GZA2" s="235"/>
      <c r="GZB2" s="235"/>
      <c r="GZC2" s="235"/>
      <c r="GZD2" s="235"/>
      <c r="GZE2" s="235"/>
      <c r="GZF2" s="235"/>
      <c r="GZG2" s="235"/>
      <c r="GZH2" s="235"/>
      <c r="GZI2" s="235"/>
      <c r="GZJ2" s="235"/>
      <c r="GZK2" s="235"/>
      <c r="GZL2" s="235"/>
      <c r="GZM2" s="235"/>
      <c r="GZN2" s="235"/>
      <c r="GZO2" s="235"/>
      <c r="GZP2" s="235"/>
      <c r="GZQ2" s="235"/>
      <c r="GZR2" s="235"/>
      <c r="GZS2" s="235"/>
      <c r="GZT2" s="235"/>
      <c r="GZU2" s="235"/>
      <c r="GZV2" s="235"/>
      <c r="GZW2" s="235"/>
      <c r="GZX2" s="235"/>
      <c r="GZY2" s="235"/>
      <c r="GZZ2" s="235"/>
      <c r="HAA2" s="235"/>
      <c r="HAB2" s="235"/>
      <c r="HAC2" s="235"/>
      <c r="HAD2" s="235"/>
      <c r="HAE2" s="235"/>
      <c r="HAF2" s="235"/>
      <c r="HAG2" s="235"/>
      <c r="HAH2" s="235"/>
      <c r="HAI2" s="235"/>
      <c r="HAJ2" s="235"/>
      <c r="HAK2" s="235"/>
      <c r="HAL2" s="235"/>
      <c r="HAM2" s="235"/>
      <c r="HAN2" s="235"/>
      <c r="HAO2" s="235"/>
      <c r="HAP2" s="235"/>
      <c r="HAQ2" s="235"/>
      <c r="HAR2" s="235"/>
      <c r="HAS2" s="235"/>
      <c r="HAT2" s="235"/>
      <c r="HAU2" s="235"/>
      <c r="HAV2" s="235"/>
      <c r="HAW2" s="235"/>
      <c r="HAX2" s="235"/>
      <c r="HAY2" s="235"/>
      <c r="HAZ2" s="235"/>
      <c r="HBA2" s="235"/>
      <c r="HBB2" s="235"/>
      <c r="HBC2" s="235"/>
      <c r="HBD2" s="235"/>
      <c r="HBE2" s="235"/>
      <c r="HBF2" s="235"/>
      <c r="HBG2" s="235"/>
      <c r="HBH2" s="235"/>
      <c r="HBI2" s="235"/>
      <c r="HBJ2" s="235"/>
      <c r="HBK2" s="235"/>
      <c r="HBL2" s="235"/>
      <c r="HBM2" s="235"/>
      <c r="HBN2" s="235"/>
      <c r="HBO2" s="235"/>
      <c r="HBP2" s="235"/>
      <c r="HBQ2" s="235"/>
      <c r="HBR2" s="235"/>
      <c r="HBS2" s="235"/>
      <c r="HBT2" s="235"/>
      <c r="HBU2" s="235"/>
      <c r="HBV2" s="235"/>
      <c r="HBW2" s="235"/>
      <c r="HBX2" s="235"/>
      <c r="HBY2" s="235"/>
      <c r="HBZ2" s="235"/>
      <c r="HCA2" s="235"/>
      <c r="HCB2" s="235"/>
      <c r="HCC2" s="235"/>
      <c r="HCD2" s="235"/>
      <c r="HCE2" s="235"/>
      <c r="HCF2" s="235"/>
      <c r="HCG2" s="235"/>
      <c r="HCH2" s="235"/>
      <c r="HCI2" s="235"/>
      <c r="HCJ2" s="235"/>
      <c r="HCK2" s="235"/>
      <c r="HCL2" s="235"/>
      <c r="HCM2" s="235"/>
      <c r="HCN2" s="235"/>
      <c r="HCO2" s="235"/>
      <c r="HCP2" s="235"/>
      <c r="HCQ2" s="235"/>
      <c r="HCR2" s="235"/>
      <c r="HCS2" s="235"/>
      <c r="HCT2" s="235"/>
      <c r="HCU2" s="235"/>
      <c r="HCV2" s="235"/>
      <c r="HCW2" s="235"/>
      <c r="HCX2" s="235"/>
      <c r="HCY2" s="235"/>
      <c r="HCZ2" s="235"/>
      <c r="HDA2" s="235"/>
      <c r="HDB2" s="235"/>
      <c r="HDC2" s="235"/>
      <c r="HDD2" s="235"/>
      <c r="HDE2" s="235"/>
      <c r="HDF2" s="235"/>
      <c r="HDG2" s="235"/>
      <c r="HDH2" s="235"/>
      <c r="HDI2" s="235"/>
      <c r="HDJ2" s="235"/>
      <c r="HDK2" s="235"/>
      <c r="HDL2" s="235"/>
      <c r="HDM2" s="235"/>
      <c r="HDN2" s="235"/>
      <c r="HDO2" s="235"/>
      <c r="HDP2" s="235"/>
      <c r="HDQ2" s="235"/>
      <c r="HDR2" s="235"/>
      <c r="HDS2" s="235"/>
      <c r="HDT2" s="235"/>
      <c r="HDU2" s="235"/>
      <c r="HDV2" s="235"/>
      <c r="HDW2" s="235"/>
      <c r="HDX2" s="235"/>
      <c r="HDY2" s="235"/>
      <c r="HDZ2" s="235"/>
      <c r="HEA2" s="235"/>
      <c r="HEB2" s="235"/>
      <c r="HEC2" s="235"/>
      <c r="HED2" s="235"/>
      <c r="HEE2" s="235"/>
      <c r="HEF2" s="235"/>
      <c r="HEG2" s="235"/>
      <c r="HEH2" s="235"/>
      <c r="HEI2" s="235"/>
      <c r="HEJ2" s="235"/>
      <c r="HEK2" s="235"/>
      <c r="HEL2" s="235"/>
      <c r="HEM2" s="235"/>
      <c r="HEN2" s="235"/>
      <c r="HEO2" s="235"/>
      <c r="HEP2" s="235"/>
      <c r="HEQ2" s="235"/>
      <c r="HER2" s="235"/>
      <c r="HES2" s="235"/>
      <c r="HET2" s="235"/>
      <c r="HEU2" s="235"/>
      <c r="HEV2" s="235"/>
      <c r="HEW2" s="235"/>
      <c r="HEX2" s="235"/>
      <c r="HEY2" s="235"/>
      <c r="HEZ2" s="235"/>
      <c r="HFA2" s="235"/>
      <c r="HFB2" s="235"/>
      <c r="HFC2" s="235"/>
      <c r="HFD2" s="235"/>
      <c r="HFE2" s="235"/>
      <c r="HFF2" s="235"/>
      <c r="HFG2" s="235"/>
      <c r="HFH2" s="235"/>
      <c r="HFI2" s="235"/>
      <c r="HFJ2" s="235"/>
      <c r="HFK2" s="235"/>
      <c r="HFL2" s="235"/>
      <c r="HFM2" s="235"/>
      <c r="HFN2" s="235"/>
      <c r="HFO2" s="235"/>
      <c r="HFP2" s="235"/>
      <c r="HFQ2" s="235"/>
      <c r="HFR2" s="235"/>
      <c r="HFS2" s="235"/>
      <c r="HFT2" s="235"/>
      <c r="HFU2" s="235"/>
      <c r="HFV2" s="235"/>
      <c r="HFW2" s="235"/>
      <c r="HFX2" s="235"/>
      <c r="HFY2" s="235"/>
      <c r="HFZ2" s="235"/>
      <c r="HGA2" s="235"/>
      <c r="HGB2" s="235"/>
      <c r="HGC2" s="235"/>
      <c r="HGD2" s="235"/>
      <c r="HGE2" s="235"/>
      <c r="HGF2" s="235"/>
      <c r="HGG2" s="235"/>
      <c r="HGH2" s="235"/>
      <c r="HGI2" s="235"/>
      <c r="HGJ2" s="235"/>
      <c r="HGK2" s="235"/>
      <c r="HGL2" s="235"/>
      <c r="HGM2" s="235"/>
      <c r="HGN2" s="235"/>
      <c r="HGO2" s="235"/>
      <c r="HGP2" s="235"/>
      <c r="HGQ2" s="235"/>
      <c r="HGR2" s="235"/>
      <c r="HGS2" s="235"/>
      <c r="HGT2" s="235"/>
      <c r="HGU2" s="235"/>
      <c r="HGV2" s="235"/>
      <c r="HGW2" s="235"/>
      <c r="HGX2" s="235"/>
      <c r="HGY2" s="235"/>
      <c r="HGZ2" s="235"/>
      <c r="HHA2" s="235"/>
      <c r="HHB2" s="235"/>
      <c r="HHC2" s="235"/>
      <c r="HHD2" s="235"/>
      <c r="HHE2" s="235"/>
      <c r="HHF2" s="235"/>
      <c r="HHG2" s="235"/>
      <c r="HHH2" s="235"/>
      <c r="HHI2" s="235"/>
      <c r="HHJ2" s="235"/>
      <c r="HHK2" s="235"/>
      <c r="HHL2" s="235"/>
      <c r="HHM2" s="235"/>
      <c r="HHN2" s="235"/>
      <c r="HHO2" s="235"/>
      <c r="HHP2" s="235"/>
      <c r="HHQ2" s="235"/>
      <c r="HHR2" s="235"/>
      <c r="HHS2" s="235"/>
      <c r="HHT2" s="235"/>
      <c r="HHU2" s="235"/>
      <c r="HHV2" s="235"/>
      <c r="HHW2" s="235"/>
      <c r="HHX2" s="235"/>
      <c r="HHY2" s="235"/>
      <c r="HHZ2" s="235"/>
      <c r="HIA2" s="235"/>
      <c r="HIB2" s="235"/>
      <c r="HIC2" s="235"/>
      <c r="HID2" s="235"/>
      <c r="HIE2" s="235"/>
      <c r="HIF2" s="235"/>
      <c r="HIG2" s="235"/>
      <c r="HIH2" s="235"/>
      <c r="HII2" s="235"/>
      <c r="HIJ2" s="235"/>
      <c r="HIK2" s="235"/>
      <c r="HIL2" s="235"/>
      <c r="HIM2" s="235"/>
      <c r="HIN2" s="235"/>
      <c r="HIO2" s="235"/>
      <c r="HIP2" s="235"/>
      <c r="HIQ2" s="235"/>
      <c r="HIR2" s="235"/>
      <c r="HIS2" s="235"/>
      <c r="HIT2" s="235"/>
      <c r="HIU2" s="235"/>
      <c r="HIV2" s="235"/>
      <c r="HIW2" s="235"/>
      <c r="HIX2" s="235"/>
      <c r="HIY2" s="235"/>
      <c r="HIZ2" s="235"/>
      <c r="HJA2" s="235"/>
      <c r="HJB2" s="235"/>
      <c r="HJC2" s="235"/>
      <c r="HJD2" s="235"/>
      <c r="HJE2" s="235"/>
      <c r="HJF2" s="235"/>
      <c r="HJG2" s="235"/>
      <c r="HJH2" s="235"/>
      <c r="HJI2" s="235"/>
      <c r="HJJ2" s="235"/>
      <c r="HJK2" s="235"/>
      <c r="HJL2" s="235"/>
      <c r="HJM2" s="235"/>
      <c r="HJN2" s="235"/>
      <c r="HJO2" s="235"/>
      <c r="HJP2" s="235"/>
      <c r="HJQ2" s="235"/>
      <c r="HJR2" s="235"/>
      <c r="HJS2" s="235"/>
      <c r="HJT2" s="235"/>
      <c r="HJU2" s="235"/>
      <c r="HJV2" s="235"/>
      <c r="HJW2" s="235"/>
      <c r="HJX2" s="235"/>
      <c r="HJY2" s="235"/>
      <c r="HJZ2" s="235"/>
      <c r="HKA2" s="235"/>
      <c r="HKB2" s="235"/>
      <c r="HKC2" s="235"/>
      <c r="HKD2" s="235"/>
      <c r="HKE2" s="235"/>
      <c r="HKF2" s="235"/>
      <c r="HKG2" s="235"/>
      <c r="HKH2" s="235"/>
      <c r="HKI2" s="235"/>
      <c r="HKJ2" s="235"/>
      <c r="HKK2" s="235"/>
      <c r="HKL2" s="235"/>
      <c r="HKM2" s="235"/>
      <c r="HKN2" s="235"/>
      <c r="HKO2" s="235"/>
      <c r="HKP2" s="235"/>
      <c r="HKQ2" s="235"/>
      <c r="HKR2" s="235"/>
      <c r="HKS2" s="235"/>
      <c r="HKT2" s="235"/>
      <c r="HKU2" s="235"/>
      <c r="HKV2" s="235"/>
      <c r="HKW2" s="235"/>
      <c r="HKX2" s="235"/>
      <c r="HKY2" s="235"/>
      <c r="HKZ2" s="235"/>
      <c r="HLA2" s="235"/>
      <c r="HLB2" s="235"/>
      <c r="HLC2" s="235"/>
      <c r="HLD2" s="235"/>
      <c r="HLE2" s="235"/>
      <c r="HLF2" s="235"/>
      <c r="HLG2" s="235"/>
      <c r="HLH2" s="235"/>
      <c r="HLI2" s="235"/>
      <c r="HLJ2" s="235"/>
      <c r="HLK2" s="235"/>
      <c r="HLL2" s="235"/>
      <c r="HLM2" s="235"/>
      <c r="HLN2" s="235"/>
      <c r="HLO2" s="235"/>
      <c r="HLP2" s="235"/>
      <c r="HLQ2" s="235"/>
      <c r="HLR2" s="235"/>
      <c r="HLS2" s="235"/>
      <c r="HLT2" s="235"/>
      <c r="HLU2" s="235"/>
      <c r="HLV2" s="235"/>
      <c r="HLW2" s="235"/>
      <c r="HLX2" s="235"/>
      <c r="HLY2" s="235"/>
      <c r="HLZ2" s="235"/>
      <c r="HMA2" s="235"/>
      <c r="HMB2" s="235"/>
      <c r="HMC2" s="235"/>
      <c r="HMD2" s="235"/>
      <c r="HME2" s="235"/>
      <c r="HMF2" s="235"/>
      <c r="HMG2" s="235"/>
      <c r="HMH2" s="235"/>
      <c r="HMI2" s="235"/>
      <c r="HMJ2" s="235"/>
      <c r="HMK2" s="235"/>
      <c r="HML2" s="235"/>
      <c r="HMM2" s="235"/>
      <c r="HMN2" s="235"/>
      <c r="HMO2" s="235"/>
      <c r="HMP2" s="235"/>
      <c r="HMQ2" s="235"/>
      <c r="HMR2" s="235"/>
      <c r="HMS2" s="235"/>
      <c r="HMT2" s="235"/>
      <c r="HMU2" s="235"/>
      <c r="HMV2" s="235"/>
      <c r="HMW2" s="235"/>
      <c r="HMX2" s="235"/>
      <c r="HMY2" s="235"/>
      <c r="HMZ2" s="235"/>
      <c r="HNA2" s="235"/>
      <c r="HNB2" s="235"/>
      <c r="HNC2" s="235"/>
      <c r="HND2" s="235"/>
      <c r="HNE2" s="235"/>
      <c r="HNF2" s="235"/>
      <c r="HNG2" s="235"/>
      <c r="HNH2" s="235"/>
      <c r="HNI2" s="235"/>
      <c r="HNJ2" s="235"/>
      <c r="HNK2" s="235"/>
      <c r="HNL2" s="235"/>
      <c r="HNM2" s="235"/>
      <c r="HNN2" s="235"/>
      <c r="HNO2" s="235"/>
      <c r="HNP2" s="235"/>
      <c r="HNQ2" s="235"/>
      <c r="HNR2" s="235"/>
      <c r="HNS2" s="235"/>
      <c r="HNT2" s="235"/>
      <c r="HNU2" s="235"/>
      <c r="HNV2" s="235"/>
      <c r="HNW2" s="235"/>
      <c r="HNX2" s="235"/>
      <c r="HNY2" s="235"/>
      <c r="HNZ2" s="235"/>
      <c r="HOA2" s="235"/>
      <c r="HOB2" s="235"/>
      <c r="HOC2" s="235"/>
      <c r="HOD2" s="235"/>
      <c r="HOE2" s="235"/>
      <c r="HOF2" s="235"/>
      <c r="HOG2" s="235"/>
      <c r="HOH2" s="235"/>
      <c r="HOI2" s="235"/>
      <c r="HOJ2" s="235"/>
      <c r="HOK2" s="235"/>
      <c r="HOL2" s="235"/>
      <c r="HOM2" s="235"/>
      <c r="HON2" s="235"/>
      <c r="HOO2" s="235"/>
      <c r="HOP2" s="235"/>
      <c r="HOQ2" s="235"/>
      <c r="HOR2" s="235"/>
      <c r="HOS2" s="235"/>
      <c r="HOT2" s="235"/>
      <c r="HOU2" s="235"/>
      <c r="HOV2" s="235"/>
      <c r="HOW2" s="235"/>
      <c r="HOX2" s="235"/>
      <c r="HOY2" s="235"/>
      <c r="HOZ2" s="235"/>
      <c r="HPA2" s="235"/>
      <c r="HPB2" s="235"/>
      <c r="HPC2" s="235"/>
      <c r="HPD2" s="235"/>
      <c r="HPE2" s="235"/>
      <c r="HPF2" s="235"/>
      <c r="HPG2" s="235"/>
      <c r="HPH2" s="235"/>
      <c r="HPI2" s="235"/>
      <c r="HPJ2" s="235"/>
      <c r="HPK2" s="235"/>
      <c r="HPL2" s="235"/>
      <c r="HPM2" s="235"/>
      <c r="HPN2" s="235"/>
      <c r="HPO2" s="235"/>
      <c r="HPP2" s="235"/>
      <c r="HPQ2" s="235"/>
      <c r="HPR2" s="235"/>
      <c r="HPS2" s="235"/>
      <c r="HPT2" s="235"/>
      <c r="HPU2" s="235"/>
      <c r="HPV2" s="235"/>
      <c r="HPW2" s="235"/>
      <c r="HPX2" s="235"/>
      <c r="HPY2" s="235"/>
      <c r="HPZ2" s="235"/>
      <c r="HQA2" s="235"/>
      <c r="HQB2" s="235"/>
      <c r="HQC2" s="235"/>
      <c r="HQD2" s="235"/>
      <c r="HQE2" s="235"/>
      <c r="HQF2" s="235"/>
      <c r="HQG2" s="235"/>
      <c r="HQH2" s="235"/>
      <c r="HQI2" s="235"/>
      <c r="HQJ2" s="235"/>
      <c r="HQK2" s="235"/>
      <c r="HQL2" s="235"/>
      <c r="HQM2" s="235"/>
      <c r="HQN2" s="235"/>
      <c r="HQO2" s="235"/>
      <c r="HQP2" s="235"/>
      <c r="HQQ2" s="235"/>
      <c r="HQR2" s="235"/>
      <c r="HQS2" s="235"/>
      <c r="HQT2" s="235"/>
      <c r="HQU2" s="235"/>
      <c r="HQV2" s="235"/>
      <c r="HQW2" s="235"/>
      <c r="HQX2" s="235"/>
      <c r="HQY2" s="235"/>
      <c r="HQZ2" s="235"/>
      <c r="HRA2" s="235"/>
      <c r="HRB2" s="235"/>
      <c r="HRC2" s="235"/>
      <c r="HRD2" s="235"/>
      <c r="HRE2" s="235"/>
      <c r="HRF2" s="235"/>
      <c r="HRG2" s="235"/>
      <c r="HRH2" s="235"/>
      <c r="HRI2" s="235"/>
      <c r="HRJ2" s="235"/>
      <c r="HRK2" s="235"/>
      <c r="HRL2" s="235"/>
      <c r="HRM2" s="235"/>
      <c r="HRN2" s="235"/>
      <c r="HRO2" s="235"/>
      <c r="HRP2" s="235"/>
      <c r="HRQ2" s="235"/>
      <c r="HRR2" s="235"/>
      <c r="HRS2" s="235"/>
      <c r="HRT2" s="235"/>
      <c r="HRU2" s="235"/>
      <c r="HRV2" s="235"/>
      <c r="HRW2" s="235"/>
      <c r="HRX2" s="235"/>
      <c r="HRY2" s="235"/>
      <c r="HRZ2" s="235"/>
      <c r="HSA2" s="235"/>
      <c r="HSB2" s="235"/>
      <c r="HSC2" s="235"/>
      <c r="HSD2" s="235"/>
      <c r="HSE2" s="235"/>
      <c r="HSF2" s="235"/>
      <c r="HSG2" s="235"/>
      <c r="HSH2" s="235"/>
      <c r="HSI2" s="235"/>
      <c r="HSJ2" s="235"/>
      <c r="HSK2" s="235"/>
      <c r="HSL2" s="235"/>
      <c r="HSM2" s="235"/>
      <c r="HSN2" s="235"/>
      <c r="HSO2" s="235"/>
      <c r="HSP2" s="235"/>
      <c r="HSQ2" s="235"/>
      <c r="HSR2" s="235"/>
      <c r="HSS2" s="235"/>
      <c r="HST2" s="235"/>
      <c r="HSU2" s="235"/>
      <c r="HSV2" s="235"/>
      <c r="HSW2" s="235"/>
      <c r="HSX2" s="235"/>
      <c r="HSY2" s="235"/>
      <c r="HSZ2" s="235"/>
      <c r="HTA2" s="235"/>
      <c r="HTB2" s="235"/>
      <c r="HTC2" s="235"/>
      <c r="HTD2" s="235"/>
      <c r="HTE2" s="235"/>
      <c r="HTF2" s="235"/>
      <c r="HTG2" s="235"/>
      <c r="HTH2" s="235"/>
      <c r="HTI2" s="235"/>
      <c r="HTJ2" s="235"/>
      <c r="HTK2" s="235"/>
      <c r="HTL2" s="235"/>
      <c r="HTM2" s="235"/>
      <c r="HTN2" s="235"/>
      <c r="HTO2" s="235"/>
      <c r="HTP2" s="235"/>
      <c r="HTQ2" s="235"/>
      <c r="HTR2" s="235"/>
      <c r="HTS2" s="235"/>
      <c r="HTT2" s="235"/>
      <c r="HTU2" s="235"/>
      <c r="HTV2" s="235"/>
      <c r="HTW2" s="235"/>
      <c r="HTX2" s="235"/>
      <c r="HTY2" s="235"/>
      <c r="HTZ2" s="235"/>
      <c r="HUA2" s="235"/>
      <c r="HUB2" s="235"/>
      <c r="HUC2" s="235"/>
      <c r="HUD2" s="235"/>
      <c r="HUE2" s="235"/>
      <c r="HUF2" s="235"/>
      <c r="HUG2" s="235"/>
      <c r="HUH2" s="235"/>
      <c r="HUI2" s="235"/>
      <c r="HUJ2" s="235"/>
      <c r="HUK2" s="235"/>
      <c r="HUL2" s="235"/>
      <c r="HUM2" s="235"/>
      <c r="HUN2" s="235"/>
      <c r="HUO2" s="235"/>
      <c r="HUP2" s="235"/>
      <c r="HUQ2" s="235"/>
      <c r="HUR2" s="235"/>
      <c r="HUS2" s="235"/>
      <c r="HUT2" s="235"/>
      <c r="HUU2" s="235"/>
      <c r="HUV2" s="235"/>
      <c r="HUW2" s="235"/>
      <c r="HUX2" s="235"/>
      <c r="HUY2" s="235"/>
      <c r="HUZ2" s="235"/>
      <c r="HVA2" s="235"/>
      <c r="HVB2" s="235"/>
      <c r="HVC2" s="235"/>
      <c r="HVD2" s="235"/>
      <c r="HVE2" s="235"/>
      <c r="HVF2" s="235"/>
      <c r="HVG2" s="235"/>
      <c r="HVH2" s="235"/>
      <c r="HVI2" s="235"/>
      <c r="HVJ2" s="235"/>
      <c r="HVK2" s="235"/>
      <c r="HVL2" s="235"/>
      <c r="HVM2" s="235"/>
      <c r="HVN2" s="235"/>
      <c r="HVO2" s="235"/>
      <c r="HVP2" s="235"/>
      <c r="HVQ2" s="235"/>
      <c r="HVR2" s="235"/>
      <c r="HVS2" s="235"/>
      <c r="HVT2" s="235"/>
      <c r="HVU2" s="235"/>
      <c r="HVV2" s="235"/>
      <c r="HVW2" s="235"/>
      <c r="HVX2" s="235"/>
      <c r="HVY2" s="235"/>
      <c r="HVZ2" s="235"/>
      <c r="HWA2" s="235"/>
      <c r="HWB2" s="235"/>
      <c r="HWC2" s="235"/>
      <c r="HWD2" s="235"/>
      <c r="HWE2" s="235"/>
      <c r="HWF2" s="235"/>
      <c r="HWG2" s="235"/>
      <c r="HWH2" s="235"/>
      <c r="HWI2" s="235"/>
      <c r="HWJ2" s="235"/>
      <c r="HWK2" s="235"/>
      <c r="HWL2" s="235"/>
      <c r="HWM2" s="235"/>
      <c r="HWN2" s="235"/>
      <c r="HWO2" s="235"/>
      <c r="HWP2" s="235"/>
      <c r="HWQ2" s="235"/>
      <c r="HWR2" s="235"/>
      <c r="HWS2" s="235"/>
      <c r="HWT2" s="235"/>
      <c r="HWU2" s="235"/>
      <c r="HWV2" s="235"/>
      <c r="HWW2" s="235"/>
      <c r="HWX2" s="235"/>
      <c r="HWY2" s="235"/>
      <c r="HWZ2" s="235"/>
      <c r="HXA2" s="235"/>
      <c r="HXB2" s="235"/>
      <c r="HXC2" s="235"/>
      <c r="HXD2" s="235"/>
      <c r="HXE2" s="235"/>
      <c r="HXF2" s="235"/>
      <c r="HXG2" s="235"/>
      <c r="HXH2" s="235"/>
      <c r="HXI2" s="235"/>
      <c r="HXJ2" s="235"/>
      <c r="HXK2" s="235"/>
      <c r="HXL2" s="235"/>
      <c r="HXM2" s="235"/>
      <c r="HXN2" s="235"/>
      <c r="HXO2" s="235"/>
      <c r="HXP2" s="235"/>
      <c r="HXQ2" s="235"/>
      <c r="HXR2" s="235"/>
      <c r="HXS2" s="235"/>
      <c r="HXT2" s="235"/>
      <c r="HXU2" s="235"/>
      <c r="HXV2" s="235"/>
      <c r="HXW2" s="235"/>
      <c r="HXX2" s="235"/>
      <c r="HXY2" s="235"/>
      <c r="HXZ2" s="235"/>
      <c r="HYA2" s="235"/>
      <c r="HYB2" s="235"/>
      <c r="HYC2" s="235"/>
      <c r="HYD2" s="235"/>
      <c r="HYE2" s="235"/>
      <c r="HYF2" s="235"/>
      <c r="HYG2" s="235"/>
      <c r="HYH2" s="235"/>
      <c r="HYI2" s="235"/>
      <c r="HYJ2" s="235"/>
      <c r="HYK2" s="235"/>
      <c r="HYL2" s="235"/>
      <c r="HYM2" s="235"/>
      <c r="HYN2" s="235"/>
      <c r="HYO2" s="235"/>
      <c r="HYP2" s="235"/>
      <c r="HYQ2" s="235"/>
      <c r="HYR2" s="235"/>
      <c r="HYS2" s="235"/>
      <c r="HYT2" s="235"/>
      <c r="HYU2" s="235"/>
      <c r="HYV2" s="235"/>
      <c r="HYW2" s="235"/>
      <c r="HYX2" s="235"/>
      <c r="HYY2" s="235"/>
      <c r="HYZ2" s="235"/>
      <c r="HZA2" s="235"/>
      <c r="HZB2" s="235"/>
      <c r="HZC2" s="235"/>
      <c r="HZD2" s="235"/>
      <c r="HZE2" s="235"/>
      <c r="HZF2" s="235"/>
      <c r="HZG2" s="235"/>
      <c r="HZH2" s="235"/>
      <c r="HZI2" s="235"/>
      <c r="HZJ2" s="235"/>
      <c r="HZK2" s="235"/>
      <c r="HZL2" s="235"/>
      <c r="HZM2" s="235"/>
      <c r="HZN2" s="235"/>
      <c r="HZO2" s="235"/>
      <c r="HZP2" s="235"/>
      <c r="HZQ2" s="235"/>
      <c r="HZR2" s="235"/>
      <c r="HZS2" s="235"/>
      <c r="HZT2" s="235"/>
      <c r="HZU2" s="235"/>
      <c r="HZV2" s="235"/>
      <c r="HZW2" s="235"/>
      <c r="HZX2" s="235"/>
      <c r="HZY2" s="235"/>
      <c r="HZZ2" s="235"/>
      <c r="IAA2" s="235"/>
      <c r="IAB2" s="235"/>
      <c r="IAC2" s="235"/>
      <c r="IAD2" s="235"/>
      <c r="IAE2" s="235"/>
      <c r="IAF2" s="235"/>
      <c r="IAG2" s="235"/>
      <c r="IAH2" s="235"/>
      <c r="IAI2" s="235"/>
      <c r="IAJ2" s="235"/>
      <c r="IAK2" s="235"/>
      <c r="IAL2" s="235"/>
      <c r="IAM2" s="235"/>
      <c r="IAN2" s="235"/>
      <c r="IAO2" s="235"/>
      <c r="IAP2" s="235"/>
      <c r="IAQ2" s="235"/>
      <c r="IAR2" s="235"/>
      <c r="IAS2" s="235"/>
      <c r="IAT2" s="235"/>
      <c r="IAU2" s="235"/>
      <c r="IAV2" s="235"/>
      <c r="IAW2" s="235"/>
      <c r="IAX2" s="235"/>
      <c r="IAY2" s="235"/>
      <c r="IAZ2" s="235"/>
      <c r="IBA2" s="235"/>
      <c r="IBB2" s="235"/>
      <c r="IBC2" s="235"/>
      <c r="IBD2" s="235"/>
      <c r="IBE2" s="235"/>
      <c r="IBF2" s="235"/>
      <c r="IBG2" s="235"/>
      <c r="IBH2" s="235"/>
      <c r="IBI2" s="235"/>
      <c r="IBJ2" s="235"/>
      <c r="IBK2" s="235"/>
      <c r="IBL2" s="235"/>
      <c r="IBM2" s="235"/>
      <c r="IBN2" s="235"/>
      <c r="IBO2" s="235"/>
      <c r="IBP2" s="235"/>
      <c r="IBQ2" s="235"/>
      <c r="IBR2" s="235"/>
      <c r="IBS2" s="235"/>
      <c r="IBT2" s="235"/>
      <c r="IBU2" s="235"/>
      <c r="IBV2" s="235"/>
      <c r="IBW2" s="235"/>
      <c r="IBX2" s="235"/>
      <c r="IBY2" s="235"/>
      <c r="IBZ2" s="235"/>
      <c r="ICA2" s="235"/>
      <c r="ICB2" s="235"/>
      <c r="ICC2" s="235"/>
      <c r="ICD2" s="235"/>
      <c r="ICE2" s="235"/>
      <c r="ICF2" s="235"/>
      <c r="ICG2" s="235"/>
      <c r="ICH2" s="235"/>
      <c r="ICI2" s="235"/>
      <c r="ICJ2" s="235"/>
      <c r="ICK2" s="235"/>
      <c r="ICL2" s="235"/>
      <c r="ICM2" s="235"/>
      <c r="ICN2" s="235"/>
      <c r="ICO2" s="235"/>
      <c r="ICP2" s="235"/>
      <c r="ICQ2" s="235"/>
      <c r="ICR2" s="235"/>
      <c r="ICS2" s="235"/>
      <c r="ICT2" s="235"/>
      <c r="ICU2" s="235"/>
      <c r="ICV2" s="235"/>
      <c r="ICW2" s="235"/>
      <c r="ICX2" s="235"/>
      <c r="ICY2" s="235"/>
      <c r="ICZ2" s="235"/>
      <c r="IDA2" s="235"/>
      <c r="IDB2" s="235"/>
      <c r="IDC2" s="235"/>
      <c r="IDD2" s="235"/>
      <c r="IDE2" s="235"/>
      <c r="IDF2" s="235"/>
      <c r="IDG2" s="235"/>
      <c r="IDH2" s="235"/>
      <c r="IDI2" s="235"/>
      <c r="IDJ2" s="235"/>
      <c r="IDK2" s="235"/>
      <c r="IDL2" s="235"/>
      <c r="IDM2" s="235"/>
      <c r="IDN2" s="235"/>
      <c r="IDO2" s="235"/>
      <c r="IDP2" s="235"/>
      <c r="IDQ2" s="235"/>
      <c r="IDR2" s="235"/>
      <c r="IDS2" s="235"/>
      <c r="IDT2" s="235"/>
      <c r="IDU2" s="235"/>
      <c r="IDV2" s="235"/>
      <c r="IDW2" s="235"/>
      <c r="IDX2" s="235"/>
      <c r="IDY2" s="235"/>
      <c r="IDZ2" s="235"/>
      <c r="IEA2" s="235"/>
      <c r="IEB2" s="235"/>
      <c r="IEC2" s="235"/>
      <c r="IED2" s="235"/>
      <c r="IEE2" s="235"/>
      <c r="IEF2" s="235"/>
      <c r="IEG2" s="235"/>
      <c r="IEH2" s="235"/>
      <c r="IEI2" s="235"/>
      <c r="IEJ2" s="235"/>
      <c r="IEK2" s="235"/>
      <c r="IEL2" s="235"/>
      <c r="IEM2" s="235"/>
      <c r="IEN2" s="235"/>
      <c r="IEO2" s="235"/>
      <c r="IEP2" s="235"/>
      <c r="IEQ2" s="235"/>
      <c r="IER2" s="235"/>
      <c r="IES2" s="235"/>
      <c r="IET2" s="235"/>
      <c r="IEU2" s="235"/>
      <c r="IEV2" s="235"/>
      <c r="IEW2" s="235"/>
      <c r="IEX2" s="235"/>
      <c r="IEY2" s="235"/>
      <c r="IEZ2" s="235"/>
      <c r="IFA2" s="235"/>
      <c r="IFB2" s="235"/>
      <c r="IFC2" s="235"/>
      <c r="IFD2" s="235"/>
      <c r="IFE2" s="235"/>
      <c r="IFF2" s="235"/>
      <c r="IFG2" s="235"/>
      <c r="IFH2" s="235"/>
      <c r="IFI2" s="235"/>
      <c r="IFJ2" s="235"/>
      <c r="IFK2" s="235"/>
      <c r="IFL2" s="235"/>
      <c r="IFM2" s="235"/>
      <c r="IFN2" s="235"/>
      <c r="IFO2" s="235"/>
      <c r="IFP2" s="235"/>
      <c r="IFQ2" s="235"/>
      <c r="IFR2" s="235"/>
      <c r="IFS2" s="235"/>
      <c r="IFT2" s="235"/>
      <c r="IFU2" s="235"/>
      <c r="IFV2" s="235"/>
      <c r="IFW2" s="235"/>
      <c r="IFX2" s="235"/>
      <c r="IFY2" s="235"/>
      <c r="IFZ2" s="235"/>
      <c r="IGA2" s="235"/>
      <c r="IGB2" s="235"/>
      <c r="IGC2" s="235"/>
      <c r="IGD2" s="235"/>
      <c r="IGE2" s="235"/>
      <c r="IGF2" s="235"/>
      <c r="IGG2" s="235"/>
      <c r="IGH2" s="235"/>
      <c r="IGI2" s="235"/>
      <c r="IGJ2" s="235"/>
      <c r="IGK2" s="235"/>
      <c r="IGL2" s="235"/>
      <c r="IGM2" s="235"/>
      <c r="IGN2" s="235"/>
      <c r="IGO2" s="235"/>
      <c r="IGP2" s="235"/>
      <c r="IGQ2" s="235"/>
      <c r="IGR2" s="235"/>
      <c r="IGS2" s="235"/>
      <c r="IGT2" s="235"/>
      <c r="IGU2" s="235"/>
      <c r="IGV2" s="235"/>
      <c r="IGW2" s="235"/>
      <c r="IGX2" s="235"/>
      <c r="IGY2" s="235"/>
      <c r="IGZ2" s="235"/>
      <c r="IHA2" s="235"/>
      <c r="IHB2" s="235"/>
      <c r="IHC2" s="235"/>
      <c r="IHD2" s="235"/>
      <c r="IHE2" s="235"/>
      <c r="IHF2" s="235"/>
      <c r="IHG2" s="235"/>
      <c r="IHH2" s="235"/>
      <c r="IHI2" s="235"/>
      <c r="IHJ2" s="235"/>
      <c r="IHK2" s="235"/>
      <c r="IHL2" s="235"/>
      <c r="IHM2" s="235"/>
      <c r="IHN2" s="235"/>
      <c r="IHO2" s="235"/>
      <c r="IHP2" s="235"/>
      <c r="IHQ2" s="235"/>
      <c r="IHR2" s="235"/>
      <c r="IHS2" s="235"/>
      <c r="IHT2" s="235"/>
      <c r="IHU2" s="235"/>
      <c r="IHV2" s="235"/>
      <c r="IHW2" s="235"/>
      <c r="IHX2" s="235"/>
      <c r="IHY2" s="235"/>
      <c r="IHZ2" s="235"/>
      <c r="IIA2" s="235"/>
      <c r="IIB2" s="235"/>
      <c r="IIC2" s="235"/>
      <c r="IID2" s="235"/>
      <c r="IIE2" s="235"/>
      <c r="IIF2" s="235"/>
      <c r="IIG2" s="235"/>
      <c r="IIH2" s="235"/>
      <c r="III2" s="235"/>
      <c r="IIJ2" s="235"/>
      <c r="IIK2" s="235"/>
      <c r="IIL2" s="235"/>
      <c r="IIM2" s="235"/>
      <c r="IIN2" s="235"/>
      <c r="IIO2" s="235"/>
      <c r="IIP2" s="235"/>
      <c r="IIQ2" s="235"/>
      <c r="IIR2" s="235"/>
      <c r="IIS2" s="235"/>
      <c r="IIT2" s="235"/>
      <c r="IIU2" s="235"/>
      <c r="IIV2" s="235"/>
      <c r="IIW2" s="235"/>
      <c r="IIX2" s="235"/>
      <c r="IIY2" s="235"/>
      <c r="IIZ2" s="235"/>
      <c r="IJA2" s="235"/>
      <c r="IJB2" s="235"/>
      <c r="IJC2" s="235"/>
      <c r="IJD2" s="235"/>
      <c r="IJE2" s="235"/>
      <c r="IJF2" s="235"/>
      <c r="IJG2" s="235"/>
      <c r="IJH2" s="235"/>
      <c r="IJI2" s="235"/>
      <c r="IJJ2" s="235"/>
      <c r="IJK2" s="235"/>
      <c r="IJL2" s="235"/>
      <c r="IJM2" s="235"/>
      <c r="IJN2" s="235"/>
      <c r="IJO2" s="235"/>
      <c r="IJP2" s="235"/>
      <c r="IJQ2" s="235"/>
      <c r="IJR2" s="235"/>
      <c r="IJS2" s="235"/>
      <c r="IJT2" s="235"/>
      <c r="IJU2" s="235"/>
      <c r="IJV2" s="235"/>
      <c r="IJW2" s="235"/>
      <c r="IJX2" s="235"/>
      <c r="IJY2" s="235"/>
      <c r="IJZ2" s="235"/>
      <c r="IKA2" s="235"/>
      <c r="IKB2" s="235"/>
      <c r="IKC2" s="235"/>
      <c r="IKD2" s="235"/>
      <c r="IKE2" s="235"/>
      <c r="IKF2" s="235"/>
      <c r="IKG2" s="235"/>
      <c r="IKH2" s="235"/>
      <c r="IKI2" s="235"/>
      <c r="IKJ2" s="235"/>
      <c r="IKK2" s="235"/>
      <c r="IKL2" s="235"/>
      <c r="IKM2" s="235"/>
      <c r="IKN2" s="235"/>
      <c r="IKO2" s="235"/>
      <c r="IKP2" s="235"/>
      <c r="IKQ2" s="235"/>
      <c r="IKR2" s="235"/>
      <c r="IKS2" s="235"/>
      <c r="IKT2" s="235"/>
      <c r="IKU2" s="235"/>
      <c r="IKV2" s="235"/>
      <c r="IKW2" s="235"/>
      <c r="IKX2" s="235"/>
      <c r="IKY2" s="235"/>
      <c r="IKZ2" s="235"/>
      <c r="ILA2" s="235"/>
      <c r="ILB2" s="235"/>
      <c r="ILC2" s="235"/>
      <c r="ILD2" s="235"/>
      <c r="ILE2" s="235"/>
      <c r="ILF2" s="235"/>
      <c r="ILG2" s="235"/>
      <c r="ILH2" s="235"/>
      <c r="ILI2" s="235"/>
      <c r="ILJ2" s="235"/>
      <c r="ILK2" s="235"/>
      <c r="ILL2" s="235"/>
      <c r="ILM2" s="235"/>
      <c r="ILN2" s="235"/>
      <c r="ILO2" s="235"/>
      <c r="ILP2" s="235"/>
      <c r="ILQ2" s="235"/>
      <c r="ILR2" s="235"/>
      <c r="ILS2" s="235"/>
      <c r="ILT2" s="235"/>
      <c r="ILU2" s="235"/>
      <c r="ILV2" s="235"/>
      <c r="ILW2" s="235"/>
      <c r="ILX2" s="235"/>
      <c r="ILY2" s="235"/>
      <c r="ILZ2" s="235"/>
      <c r="IMA2" s="235"/>
      <c r="IMB2" s="235"/>
      <c r="IMC2" s="235"/>
      <c r="IMD2" s="235"/>
      <c r="IME2" s="235"/>
      <c r="IMF2" s="235"/>
      <c r="IMG2" s="235"/>
      <c r="IMH2" s="235"/>
      <c r="IMI2" s="235"/>
      <c r="IMJ2" s="235"/>
      <c r="IMK2" s="235"/>
      <c r="IML2" s="235"/>
      <c r="IMM2" s="235"/>
      <c r="IMN2" s="235"/>
      <c r="IMO2" s="235"/>
      <c r="IMP2" s="235"/>
      <c r="IMQ2" s="235"/>
      <c r="IMR2" s="235"/>
      <c r="IMS2" s="235"/>
      <c r="IMT2" s="235"/>
      <c r="IMU2" s="235"/>
      <c r="IMV2" s="235"/>
      <c r="IMW2" s="235"/>
      <c r="IMX2" s="235"/>
      <c r="IMY2" s="235"/>
      <c r="IMZ2" s="235"/>
      <c r="INA2" s="235"/>
      <c r="INB2" s="235"/>
      <c r="INC2" s="235"/>
      <c r="IND2" s="235"/>
      <c r="INE2" s="235"/>
      <c r="INF2" s="235"/>
      <c r="ING2" s="235"/>
      <c r="INH2" s="235"/>
      <c r="INI2" s="235"/>
      <c r="INJ2" s="235"/>
      <c r="INK2" s="235"/>
      <c r="INL2" s="235"/>
      <c r="INM2" s="235"/>
      <c r="INN2" s="235"/>
      <c r="INO2" s="235"/>
      <c r="INP2" s="235"/>
      <c r="INQ2" s="235"/>
      <c r="INR2" s="235"/>
      <c r="INS2" s="235"/>
      <c r="INT2" s="235"/>
      <c r="INU2" s="235"/>
      <c r="INV2" s="235"/>
      <c r="INW2" s="235"/>
      <c r="INX2" s="235"/>
      <c r="INY2" s="235"/>
      <c r="INZ2" s="235"/>
      <c r="IOA2" s="235"/>
      <c r="IOB2" s="235"/>
      <c r="IOC2" s="235"/>
      <c r="IOD2" s="235"/>
      <c r="IOE2" s="235"/>
      <c r="IOF2" s="235"/>
      <c r="IOG2" s="235"/>
      <c r="IOH2" s="235"/>
      <c r="IOI2" s="235"/>
      <c r="IOJ2" s="235"/>
      <c r="IOK2" s="235"/>
      <c r="IOL2" s="235"/>
      <c r="IOM2" s="235"/>
      <c r="ION2" s="235"/>
      <c r="IOO2" s="235"/>
      <c r="IOP2" s="235"/>
      <c r="IOQ2" s="235"/>
      <c r="IOR2" s="235"/>
      <c r="IOS2" s="235"/>
      <c r="IOT2" s="235"/>
      <c r="IOU2" s="235"/>
      <c r="IOV2" s="235"/>
      <c r="IOW2" s="235"/>
      <c r="IOX2" s="235"/>
      <c r="IOY2" s="235"/>
      <c r="IOZ2" s="235"/>
      <c r="IPA2" s="235"/>
      <c r="IPB2" s="235"/>
      <c r="IPC2" s="235"/>
      <c r="IPD2" s="235"/>
      <c r="IPE2" s="235"/>
      <c r="IPF2" s="235"/>
      <c r="IPG2" s="235"/>
      <c r="IPH2" s="235"/>
      <c r="IPI2" s="235"/>
      <c r="IPJ2" s="235"/>
      <c r="IPK2" s="235"/>
      <c r="IPL2" s="235"/>
      <c r="IPM2" s="235"/>
      <c r="IPN2" s="235"/>
      <c r="IPO2" s="235"/>
      <c r="IPP2" s="235"/>
      <c r="IPQ2" s="235"/>
      <c r="IPR2" s="235"/>
      <c r="IPS2" s="235"/>
      <c r="IPT2" s="235"/>
      <c r="IPU2" s="235"/>
      <c r="IPV2" s="235"/>
      <c r="IPW2" s="235"/>
      <c r="IPX2" s="235"/>
      <c r="IPY2" s="235"/>
      <c r="IPZ2" s="235"/>
      <c r="IQA2" s="235"/>
      <c r="IQB2" s="235"/>
      <c r="IQC2" s="235"/>
      <c r="IQD2" s="235"/>
      <c r="IQE2" s="235"/>
      <c r="IQF2" s="235"/>
      <c r="IQG2" s="235"/>
      <c r="IQH2" s="235"/>
      <c r="IQI2" s="235"/>
      <c r="IQJ2" s="235"/>
      <c r="IQK2" s="235"/>
      <c r="IQL2" s="235"/>
      <c r="IQM2" s="235"/>
      <c r="IQN2" s="235"/>
      <c r="IQO2" s="235"/>
      <c r="IQP2" s="235"/>
      <c r="IQQ2" s="235"/>
      <c r="IQR2" s="235"/>
      <c r="IQS2" s="235"/>
      <c r="IQT2" s="235"/>
      <c r="IQU2" s="235"/>
      <c r="IQV2" s="235"/>
      <c r="IQW2" s="235"/>
      <c r="IQX2" s="235"/>
      <c r="IQY2" s="235"/>
      <c r="IQZ2" s="235"/>
      <c r="IRA2" s="235"/>
      <c r="IRB2" s="235"/>
      <c r="IRC2" s="235"/>
      <c r="IRD2" s="235"/>
      <c r="IRE2" s="235"/>
      <c r="IRF2" s="235"/>
      <c r="IRG2" s="235"/>
      <c r="IRH2" s="235"/>
      <c r="IRI2" s="235"/>
      <c r="IRJ2" s="235"/>
      <c r="IRK2" s="235"/>
      <c r="IRL2" s="235"/>
      <c r="IRM2" s="235"/>
      <c r="IRN2" s="235"/>
      <c r="IRO2" s="235"/>
      <c r="IRP2" s="235"/>
      <c r="IRQ2" s="235"/>
      <c r="IRR2" s="235"/>
      <c r="IRS2" s="235"/>
      <c r="IRT2" s="235"/>
      <c r="IRU2" s="235"/>
      <c r="IRV2" s="235"/>
      <c r="IRW2" s="235"/>
      <c r="IRX2" s="235"/>
      <c r="IRY2" s="235"/>
      <c r="IRZ2" s="235"/>
      <c r="ISA2" s="235"/>
      <c r="ISB2" s="235"/>
      <c r="ISC2" s="235"/>
      <c r="ISD2" s="235"/>
      <c r="ISE2" s="235"/>
      <c r="ISF2" s="235"/>
      <c r="ISG2" s="235"/>
      <c r="ISH2" s="235"/>
      <c r="ISI2" s="235"/>
      <c r="ISJ2" s="235"/>
      <c r="ISK2" s="235"/>
      <c r="ISL2" s="235"/>
      <c r="ISM2" s="235"/>
      <c r="ISN2" s="235"/>
      <c r="ISO2" s="235"/>
      <c r="ISP2" s="235"/>
      <c r="ISQ2" s="235"/>
      <c r="ISR2" s="235"/>
      <c r="ISS2" s="235"/>
      <c r="IST2" s="235"/>
      <c r="ISU2" s="235"/>
      <c r="ISV2" s="235"/>
      <c r="ISW2" s="235"/>
      <c r="ISX2" s="235"/>
      <c r="ISY2" s="235"/>
      <c r="ISZ2" s="235"/>
      <c r="ITA2" s="235"/>
      <c r="ITB2" s="235"/>
      <c r="ITC2" s="235"/>
      <c r="ITD2" s="235"/>
      <c r="ITE2" s="235"/>
      <c r="ITF2" s="235"/>
      <c r="ITG2" s="235"/>
      <c r="ITH2" s="235"/>
      <c r="ITI2" s="235"/>
      <c r="ITJ2" s="235"/>
      <c r="ITK2" s="235"/>
      <c r="ITL2" s="235"/>
      <c r="ITM2" s="235"/>
      <c r="ITN2" s="235"/>
      <c r="ITO2" s="235"/>
      <c r="ITP2" s="235"/>
      <c r="ITQ2" s="235"/>
      <c r="ITR2" s="235"/>
      <c r="ITS2" s="235"/>
      <c r="ITT2" s="235"/>
      <c r="ITU2" s="235"/>
      <c r="ITV2" s="235"/>
      <c r="ITW2" s="235"/>
      <c r="ITX2" s="235"/>
      <c r="ITY2" s="235"/>
      <c r="ITZ2" s="235"/>
      <c r="IUA2" s="235"/>
      <c r="IUB2" s="235"/>
      <c r="IUC2" s="235"/>
      <c r="IUD2" s="235"/>
      <c r="IUE2" s="235"/>
      <c r="IUF2" s="235"/>
      <c r="IUG2" s="235"/>
      <c r="IUH2" s="235"/>
      <c r="IUI2" s="235"/>
      <c r="IUJ2" s="235"/>
      <c r="IUK2" s="235"/>
      <c r="IUL2" s="235"/>
      <c r="IUM2" s="235"/>
      <c r="IUN2" s="235"/>
      <c r="IUO2" s="235"/>
      <c r="IUP2" s="235"/>
      <c r="IUQ2" s="235"/>
      <c r="IUR2" s="235"/>
      <c r="IUS2" s="235"/>
      <c r="IUT2" s="235"/>
      <c r="IUU2" s="235"/>
      <c r="IUV2" s="235"/>
      <c r="IUW2" s="235"/>
      <c r="IUX2" s="235"/>
      <c r="IUY2" s="235"/>
      <c r="IUZ2" s="235"/>
      <c r="IVA2" s="235"/>
      <c r="IVB2" s="235"/>
      <c r="IVC2" s="235"/>
      <c r="IVD2" s="235"/>
      <c r="IVE2" s="235"/>
      <c r="IVF2" s="235"/>
      <c r="IVG2" s="235"/>
      <c r="IVH2" s="235"/>
      <c r="IVI2" s="235"/>
      <c r="IVJ2" s="235"/>
      <c r="IVK2" s="235"/>
      <c r="IVL2" s="235"/>
      <c r="IVM2" s="235"/>
      <c r="IVN2" s="235"/>
      <c r="IVO2" s="235"/>
      <c r="IVP2" s="235"/>
      <c r="IVQ2" s="235"/>
      <c r="IVR2" s="235"/>
      <c r="IVS2" s="235"/>
      <c r="IVT2" s="235"/>
      <c r="IVU2" s="235"/>
      <c r="IVV2" s="235"/>
      <c r="IVW2" s="235"/>
      <c r="IVX2" s="235"/>
      <c r="IVY2" s="235"/>
      <c r="IVZ2" s="235"/>
      <c r="IWA2" s="235"/>
      <c r="IWB2" s="235"/>
      <c r="IWC2" s="235"/>
      <c r="IWD2" s="235"/>
      <c r="IWE2" s="235"/>
      <c r="IWF2" s="235"/>
      <c r="IWG2" s="235"/>
      <c r="IWH2" s="235"/>
      <c r="IWI2" s="235"/>
      <c r="IWJ2" s="235"/>
      <c r="IWK2" s="235"/>
      <c r="IWL2" s="235"/>
      <c r="IWM2" s="235"/>
      <c r="IWN2" s="235"/>
      <c r="IWO2" s="235"/>
      <c r="IWP2" s="235"/>
      <c r="IWQ2" s="235"/>
      <c r="IWR2" s="235"/>
      <c r="IWS2" s="235"/>
      <c r="IWT2" s="235"/>
      <c r="IWU2" s="235"/>
      <c r="IWV2" s="235"/>
      <c r="IWW2" s="235"/>
      <c r="IWX2" s="235"/>
      <c r="IWY2" s="235"/>
      <c r="IWZ2" s="235"/>
      <c r="IXA2" s="235"/>
      <c r="IXB2" s="235"/>
      <c r="IXC2" s="235"/>
      <c r="IXD2" s="235"/>
      <c r="IXE2" s="235"/>
      <c r="IXF2" s="235"/>
      <c r="IXG2" s="235"/>
      <c r="IXH2" s="235"/>
      <c r="IXI2" s="235"/>
      <c r="IXJ2" s="235"/>
      <c r="IXK2" s="235"/>
      <c r="IXL2" s="235"/>
      <c r="IXM2" s="235"/>
      <c r="IXN2" s="235"/>
      <c r="IXO2" s="235"/>
      <c r="IXP2" s="235"/>
      <c r="IXQ2" s="235"/>
      <c r="IXR2" s="235"/>
      <c r="IXS2" s="235"/>
      <c r="IXT2" s="235"/>
      <c r="IXU2" s="235"/>
      <c r="IXV2" s="235"/>
      <c r="IXW2" s="235"/>
      <c r="IXX2" s="235"/>
      <c r="IXY2" s="235"/>
      <c r="IXZ2" s="235"/>
      <c r="IYA2" s="235"/>
      <c r="IYB2" s="235"/>
      <c r="IYC2" s="235"/>
      <c r="IYD2" s="235"/>
      <c r="IYE2" s="235"/>
      <c r="IYF2" s="235"/>
      <c r="IYG2" s="235"/>
      <c r="IYH2" s="235"/>
      <c r="IYI2" s="235"/>
      <c r="IYJ2" s="235"/>
      <c r="IYK2" s="235"/>
      <c r="IYL2" s="235"/>
      <c r="IYM2" s="235"/>
      <c r="IYN2" s="235"/>
      <c r="IYO2" s="235"/>
      <c r="IYP2" s="235"/>
      <c r="IYQ2" s="235"/>
      <c r="IYR2" s="235"/>
      <c r="IYS2" s="235"/>
      <c r="IYT2" s="235"/>
      <c r="IYU2" s="235"/>
      <c r="IYV2" s="235"/>
      <c r="IYW2" s="235"/>
      <c r="IYX2" s="235"/>
      <c r="IYY2" s="235"/>
      <c r="IYZ2" s="235"/>
      <c r="IZA2" s="235"/>
      <c r="IZB2" s="235"/>
      <c r="IZC2" s="235"/>
      <c r="IZD2" s="235"/>
      <c r="IZE2" s="235"/>
      <c r="IZF2" s="235"/>
      <c r="IZG2" s="235"/>
      <c r="IZH2" s="235"/>
      <c r="IZI2" s="235"/>
      <c r="IZJ2" s="235"/>
      <c r="IZK2" s="235"/>
      <c r="IZL2" s="235"/>
      <c r="IZM2" s="235"/>
      <c r="IZN2" s="235"/>
      <c r="IZO2" s="235"/>
      <c r="IZP2" s="235"/>
      <c r="IZQ2" s="235"/>
      <c r="IZR2" s="235"/>
      <c r="IZS2" s="235"/>
      <c r="IZT2" s="235"/>
      <c r="IZU2" s="235"/>
      <c r="IZV2" s="235"/>
      <c r="IZW2" s="235"/>
      <c r="IZX2" s="235"/>
      <c r="IZY2" s="235"/>
      <c r="IZZ2" s="235"/>
      <c r="JAA2" s="235"/>
      <c r="JAB2" s="235"/>
      <c r="JAC2" s="235"/>
      <c r="JAD2" s="235"/>
      <c r="JAE2" s="235"/>
      <c r="JAF2" s="235"/>
      <c r="JAG2" s="235"/>
      <c r="JAH2" s="235"/>
      <c r="JAI2" s="235"/>
      <c r="JAJ2" s="235"/>
      <c r="JAK2" s="235"/>
      <c r="JAL2" s="235"/>
      <c r="JAM2" s="235"/>
      <c r="JAN2" s="235"/>
      <c r="JAO2" s="235"/>
      <c r="JAP2" s="235"/>
      <c r="JAQ2" s="235"/>
      <c r="JAR2" s="235"/>
      <c r="JAS2" s="235"/>
      <c r="JAT2" s="235"/>
      <c r="JAU2" s="235"/>
      <c r="JAV2" s="235"/>
      <c r="JAW2" s="235"/>
      <c r="JAX2" s="235"/>
      <c r="JAY2" s="235"/>
      <c r="JAZ2" s="235"/>
      <c r="JBA2" s="235"/>
      <c r="JBB2" s="235"/>
      <c r="JBC2" s="235"/>
      <c r="JBD2" s="235"/>
      <c r="JBE2" s="235"/>
      <c r="JBF2" s="235"/>
      <c r="JBG2" s="235"/>
      <c r="JBH2" s="235"/>
      <c r="JBI2" s="235"/>
      <c r="JBJ2" s="235"/>
      <c r="JBK2" s="235"/>
      <c r="JBL2" s="235"/>
      <c r="JBM2" s="235"/>
      <c r="JBN2" s="235"/>
      <c r="JBO2" s="235"/>
      <c r="JBP2" s="235"/>
      <c r="JBQ2" s="235"/>
      <c r="JBR2" s="235"/>
      <c r="JBS2" s="235"/>
      <c r="JBT2" s="235"/>
      <c r="JBU2" s="235"/>
      <c r="JBV2" s="235"/>
      <c r="JBW2" s="235"/>
      <c r="JBX2" s="235"/>
      <c r="JBY2" s="235"/>
      <c r="JBZ2" s="235"/>
      <c r="JCA2" s="235"/>
      <c r="JCB2" s="235"/>
      <c r="JCC2" s="235"/>
      <c r="JCD2" s="235"/>
      <c r="JCE2" s="235"/>
      <c r="JCF2" s="235"/>
      <c r="JCG2" s="235"/>
      <c r="JCH2" s="235"/>
      <c r="JCI2" s="235"/>
      <c r="JCJ2" s="235"/>
      <c r="JCK2" s="235"/>
      <c r="JCL2" s="235"/>
      <c r="JCM2" s="235"/>
      <c r="JCN2" s="235"/>
      <c r="JCO2" s="235"/>
      <c r="JCP2" s="235"/>
      <c r="JCQ2" s="235"/>
      <c r="JCR2" s="235"/>
      <c r="JCS2" s="235"/>
      <c r="JCT2" s="235"/>
      <c r="JCU2" s="235"/>
      <c r="JCV2" s="235"/>
      <c r="JCW2" s="235"/>
      <c r="JCX2" s="235"/>
      <c r="JCY2" s="235"/>
      <c r="JCZ2" s="235"/>
      <c r="JDA2" s="235"/>
      <c r="JDB2" s="235"/>
      <c r="JDC2" s="235"/>
      <c r="JDD2" s="235"/>
      <c r="JDE2" s="235"/>
      <c r="JDF2" s="235"/>
      <c r="JDG2" s="235"/>
      <c r="JDH2" s="235"/>
      <c r="JDI2" s="235"/>
      <c r="JDJ2" s="235"/>
      <c r="JDK2" s="235"/>
      <c r="JDL2" s="235"/>
      <c r="JDM2" s="235"/>
      <c r="JDN2" s="235"/>
      <c r="JDO2" s="235"/>
      <c r="JDP2" s="235"/>
      <c r="JDQ2" s="235"/>
      <c r="JDR2" s="235"/>
      <c r="JDS2" s="235"/>
      <c r="JDT2" s="235"/>
      <c r="JDU2" s="235"/>
      <c r="JDV2" s="235"/>
      <c r="JDW2" s="235"/>
      <c r="JDX2" s="235"/>
      <c r="JDY2" s="235"/>
      <c r="JDZ2" s="235"/>
      <c r="JEA2" s="235"/>
      <c r="JEB2" s="235"/>
      <c r="JEC2" s="235"/>
      <c r="JED2" s="235"/>
      <c r="JEE2" s="235"/>
      <c r="JEF2" s="235"/>
      <c r="JEG2" s="235"/>
      <c r="JEH2" s="235"/>
      <c r="JEI2" s="235"/>
      <c r="JEJ2" s="235"/>
      <c r="JEK2" s="235"/>
      <c r="JEL2" s="235"/>
      <c r="JEM2" s="235"/>
      <c r="JEN2" s="235"/>
      <c r="JEO2" s="235"/>
      <c r="JEP2" s="235"/>
      <c r="JEQ2" s="235"/>
      <c r="JER2" s="235"/>
      <c r="JES2" s="235"/>
      <c r="JET2" s="235"/>
      <c r="JEU2" s="235"/>
      <c r="JEV2" s="235"/>
      <c r="JEW2" s="235"/>
      <c r="JEX2" s="235"/>
      <c r="JEY2" s="235"/>
      <c r="JEZ2" s="235"/>
      <c r="JFA2" s="235"/>
      <c r="JFB2" s="235"/>
      <c r="JFC2" s="235"/>
      <c r="JFD2" s="235"/>
      <c r="JFE2" s="235"/>
      <c r="JFF2" s="235"/>
      <c r="JFG2" s="235"/>
      <c r="JFH2" s="235"/>
      <c r="JFI2" s="235"/>
      <c r="JFJ2" s="235"/>
      <c r="JFK2" s="235"/>
      <c r="JFL2" s="235"/>
      <c r="JFM2" s="235"/>
      <c r="JFN2" s="235"/>
      <c r="JFO2" s="235"/>
      <c r="JFP2" s="235"/>
      <c r="JFQ2" s="235"/>
      <c r="JFR2" s="235"/>
      <c r="JFS2" s="235"/>
      <c r="JFT2" s="235"/>
      <c r="JFU2" s="235"/>
      <c r="JFV2" s="235"/>
      <c r="JFW2" s="235"/>
      <c r="JFX2" s="235"/>
      <c r="JFY2" s="235"/>
      <c r="JFZ2" s="235"/>
      <c r="JGA2" s="235"/>
      <c r="JGB2" s="235"/>
      <c r="JGC2" s="235"/>
      <c r="JGD2" s="235"/>
      <c r="JGE2" s="235"/>
      <c r="JGF2" s="235"/>
      <c r="JGG2" s="235"/>
      <c r="JGH2" s="235"/>
      <c r="JGI2" s="235"/>
      <c r="JGJ2" s="235"/>
      <c r="JGK2" s="235"/>
      <c r="JGL2" s="235"/>
      <c r="JGM2" s="235"/>
      <c r="JGN2" s="235"/>
      <c r="JGO2" s="235"/>
      <c r="JGP2" s="235"/>
      <c r="JGQ2" s="235"/>
      <c r="JGR2" s="235"/>
      <c r="JGS2" s="235"/>
      <c r="JGT2" s="235"/>
      <c r="JGU2" s="235"/>
      <c r="JGV2" s="235"/>
      <c r="JGW2" s="235"/>
      <c r="JGX2" s="235"/>
      <c r="JGY2" s="235"/>
      <c r="JGZ2" s="235"/>
      <c r="JHA2" s="235"/>
      <c r="JHB2" s="235"/>
      <c r="JHC2" s="235"/>
      <c r="JHD2" s="235"/>
      <c r="JHE2" s="235"/>
      <c r="JHF2" s="235"/>
      <c r="JHG2" s="235"/>
      <c r="JHH2" s="235"/>
      <c r="JHI2" s="235"/>
      <c r="JHJ2" s="235"/>
      <c r="JHK2" s="235"/>
      <c r="JHL2" s="235"/>
      <c r="JHM2" s="235"/>
      <c r="JHN2" s="235"/>
      <c r="JHO2" s="235"/>
      <c r="JHP2" s="235"/>
      <c r="JHQ2" s="235"/>
      <c r="JHR2" s="235"/>
      <c r="JHS2" s="235"/>
      <c r="JHT2" s="235"/>
      <c r="JHU2" s="235"/>
      <c r="JHV2" s="235"/>
      <c r="JHW2" s="235"/>
      <c r="JHX2" s="235"/>
      <c r="JHY2" s="235"/>
      <c r="JHZ2" s="235"/>
      <c r="JIA2" s="235"/>
      <c r="JIB2" s="235"/>
      <c r="JIC2" s="235"/>
      <c r="JID2" s="235"/>
      <c r="JIE2" s="235"/>
      <c r="JIF2" s="235"/>
      <c r="JIG2" s="235"/>
      <c r="JIH2" s="235"/>
      <c r="JII2" s="235"/>
      <c r="JIJ2" s="235"/>
      <c r="JIK2" s="235"/>
      <c r="JIL2" s="235"/>
      <c r="JIM2" s="235"/>
      <c r="JIN2" s="235"/>
      <c r="JIO2" s="235"/>
      <c r="JIP2" s="235"/>
      <c r="JIQ2" s="235"/>
      <c r="JIR2" s="235"/>
      <c r="JIS2" s="235"/>
      <c r="JIT2" s="235"/>
      <c r="JIU2" s="235"/>
      <c r="JIV2" s="235"/>
      <c r="JIW2" s="235"/>
      <c r="JIX2" s="235"/>
      <c r="JIY2" s="235"/>
      <c r="JIZ2" s="235"/>
      <c r="JJA2" s="235"/>
      <c r="JJB2" s="235"/>
      <c r="JJC2" s="235"/>
      <c r="JJD2" s="235"/>
      <c r="JJE2" s="235"/>
      <c r="JJF2" s="235"/>
      <c r="JJG2" s="235"/>
      <c r="JJH2" s="235"/>
      <c r="JJI2" s="235"/>
      <c r="JJJ2" s="235"/>
      <c r="JJK2" s="235"/>
      <c r="JJL2" s="235"/>
      <c r="JJM2" s="235"/>
      <c r="JJN2" s="235"/>
      <c r="JJO2" s="235"/>
      <c r="JJP2" s="235"/>
      <c r="JJQ2" s="235"/>
      <c r="JJR2" s="235"/>
      <c r="JJS2" s="235"/>
      <c r="JJT2" s="235"/>
      <c r="JJU2" s="235"/>
      <c r="JJV2" s="235"/>
      <c r="JJW2" s="235"/>
      <c r="JJX2" s="235"/>
      <c r="JJY2" s="235"/>
      <c r="JJZ2" s="235"/>
      <c r="JKA2" s="235"/>
      <c r="JKB2" s="235"/>
      <c r="JKC2" s="235"/>
      <c r="JKD2" s="235"/>
      <c r="JKE2" s="235"/>
      <c r="JKF2" s="235"/>
      <c r="JKG2" s="235"/>
      <c r="JKH2" s="235"/>
      <c r="JKI2" s="235"/>
      <c r="JKJ2" s="235"/>
      <c r="JKK2" s="235"/>
      <c r="JKL2" s="235"/>
      <c r="JKM2" s="235"/>
      <c r="JKN2" s="235"/>
      <c r="JKO2" s="235"/>
      <c r="JKP2" s="235"/>
      <c r="JKQ2" s="235"/>
      <c r="JKR2" s="235"/>
      <c r="JKS2" s="235"/>
      <c r="JKT2" s="235"/>
      <c r="JKU2" s="235"/>
      <c r="JKV2" s="235"/>
      <c r="JKW2" s="235"/>
      <c r="JKX2" s="235"/>
      <c r="JKY2" s="235"/>
      <c r="JKZ2" s="235"/>
      <c r="JLA2" s="235"/>
      <c r="JLB2" s="235"/>
      <c r="JLC2" s="235"/>
      <c r="JLD2" s="235"/>
      <c r="JLE2" s="235"/>
      <c r="JLF2" s="235"/>
      <c r="JLG2" s="235"/>
      <c r="JLH2" s="235"/>
      <c r="JLI2" s="235"/>
      <c r="JLJ2" s="235"/>
      <c r="JLK2" s="235"/>
      <c r="JLL2" s="235"/>
      <c r="JLM2" s="235"/>
      <c r="JLN2" s="235"/>
      <c r="JLO2" s="235"/>
      <c r="JLP2" s="235"/>
      <c r="JLQ2" s="235"/>
      <c r="JLR2" s="235"/>
      <c r="JLS2" s="235"/>
      <c r="JLT2" s="235"/>
      <c r="JLU2" s="235"/>
      <c r="JLV2" s="235"/>
      <c r="JLW2" s="235"/>
      <c r="JLX2" s="235"/>
      <c r="JLY2" s="235"/>
      <c r="JLZ2" s="235"/>
      <c r="JMA2" s="235"/>
      <c r="JMB2" s="235"/>
      <c r="JMC2" s="235"/>
      <c r="JMD2" s="235"/>
      <c r="JME2" s="235"/>
      <c r="JMF2" s="235"/>
      <c r="JMG2" s="235"/>
      <c r="JMH2" s="235"/>
      <c r="JMI2" s="235"/>
      <c r="JMJ2" s="235"/>
      <c r="JMK2" s="235"/>
      <c r="JML2" s="235"/>
      <c r="JMM2" s="235"/>
      <c r="JMN2" s="235"/>
      <c r="JMO2" s="235"/>
      <c r="JMP2" s="235"/>
      <c r="JMQ2" s="235"/>
      <c r="JMR2" s="235"/>
      <c r="JMS2" s="235"/>
      <c r="JMT2" s="235"/>
      <c r="JMU2" s="235"/>
      <c r="JMV2" s="235"/>
      <c r="JMW2" s="235"/>
      <c r="JMX2" s="235"/>
      <c r="JMY2" s="235"/>
      <c r="JMZ2" s="235"/>
      <c r="JNA2" s="235"/>
      <c r="JNB2" s="235"/>
      <c r="JNC2" s="235"/>
      <c r="JND2" s="235"/>
      <c r="JNE2" s="235"/>
      <c r="JNF2" s="235"/>
      <c r="JNG2" s="235"/>
      <c r="JNH2" s="235"/>
      <c r="JNI2" s="235"/>
      <c r="JNJ2" s="235"/>
      <c r="JNK2" s="235"/>
      <c r="JNL2" s="235"/>
      <c r="JNM2" s="235"/>
      <c r="JNN2" s="235"/>
      <c r="JNO2" s="235"/>
      <c r="JNP2" s="235"/>
      <c r="JNQ2" s="235"/>
      <c r="JNR2" s="235"/>
      <c r="JNS2" s="235"/>
      <c r="JNT2" s="235"/>
      <c r="JNU2" s="235"/>
      <c r="JNV2" s="235"/>
      <c r="JNW2" s="235"/>
      <c r="JNX2" s="235"/>
      <c r="JNY2" s="235"/>
      <c r="JNZ2" s="235"/>
      <c r="JOA2" s="235"/>
      <c r="JOB2" s="235"/>
      <c r="JOC2" s="235"/>
      <c r="JOD2" s="235"/>
      <c r="JOE2" s="235"/>
      <c r="JOF2" s="235"/>
      <c r="JOG2" s="235"/>
      <c r="JOH2" s="235"/>
      <c r="JOI2" s="235"/>
      <c r="JOJ2" s="235"/>
      <c r="JOK2" s="235"/>
      <c r="JOL2" s="235"/>
      <c r="JOM2" s="235"/>
      <c r="JON2" s="235"/>
      <c r="JOO2" s="235"/>
      <c r="JOP2" s="235"/>
      <c r="JOQ2" s="235"/>
      <c r="JOR2" s="235"/>
      <c r="JOS2" s="235"/>
      <c r="JOT2" s="235"/>
      <c r="JOU2" s="235"/>
      <c r="JOV2" s="235"/>
      <c r="JOW2" s="235"/>
      <c r="JOX2" s="235"/>
      <c r="JOY2" s="235"/>
      <c r="JOZ2" s="235"/>
      <c r="JPA2" s="235"/>
      <c r="JPB2" s="235"/>
      <c r="JPC2" s="235"/>
      <c r="JPD2" s="235"/>
      <c r="JPE2" s="235"/>
      <c r="JPF2" s="235"/>
      <c r="JPG2" s="235"/>
      <c r="JPH2" s="235"/>
      <c r="JPI2" s="235"/>
      <c r="JPJ2" s="235"/>
      <c r="JPK2" s="235"/>
      <c r="JPL2" s="235"/>
      <c r="JPM2" s="235"/>
      <c r="JPN2" s="235"/>
      <c r="JPO2" s="235"/>
      <c r="JPP2" s="235"/>
      <c r="JPQ2" s="235"/>
      <c r="JPR2" s="235"/>
      <c r="JPS2" s="235"/>
      <c r="JPT2" s="235"/>
      <c r="JPU2" s="235"/>
      <c r="JPV2" s="235"/>
      <c r="JPW2" s="235"/>
      <c r="JPX2" s="235"/>
      <c r="JPY2" s="235"/>
      <c r="JPZ2" s="235"/>
      <c r="JQA2" s="235"/>
      <c r="JQB2" s="235"/>
      <c r="JQC2" s="235"/>
      <c r="JQD2" s="235"/>
      <c r="JQE2" s="235"/>
      <c r="JQF2" s="235"/>
      <c r="JQG2" s="235"/>
      <c r="JQH2" s="235"/>
      <c r="JQI2" s="235"/>
      <c r="JQJ2" s="235"/>
      <c r="JQK2" s="235"/>
      <c r="JQL2" s="235"/>
      <c r="JQM2" s="235"/>
      <c r="JQN2" s="235"/>
      <c r="JQO2" s="235"/>
      <c r="JQP2" s="235"/>
      <c r="JQQ2" s="235"/>
      <c r="JQR2" s="235"/>
      <c r="JQS2" s="235"/>
      <c r="JQT2" s="235"/>
      <c r="JQU2" s="235"/>
      <c r="JQV2" s="235"/>
      <c r="JQW2" s="235"/>
      <c r="JQX2" s="235"/>
      <c r="JQY2" s="235"/>
      <c r="JQZ2" s="235"/>
      <c r="JRA2" s="235"/>
      <c r="JRB2" s="235"/>
      <c r="JRC2" s="235"/>
      <c r="JRD2" s="235"/>
      <c r="JRE2" s="235"/>
      <c r="JRF2" s="235"/>
      <c r="JRG2" s="235"/>
      <c r="JRH2" s="235"/>
      <c r="JRI2" s="235"/>
      <c r="JRJ2" s="235"/>
      <c r="JRK2" s="235"/>
      <c r="JRL2" s="235"/>
      <c r="JRM2" s="235"/>
      <c r="JRN2" s="235"/>
      <c r="JRO2" s="235"/>
      <c r="JRP2" s="235"/>
      <c r="JRQ2" s="235"/>
      <c r="JRR2" s="235"/>
      <c r="JRS2" s="235"/>
      <c r="JRT2" s="235"/>
      <c r="JRU2" s="235"/>
      <c r="JRV2" s="235"/>
      <c r="JRW2" s="235"/>
      <c r="JRX2" s="235"/>
      <c r="JRY2" s="235"/>
      <c r="JRZ2" s="235"/>
      <c r="JSA2" s="235"/>
      <c r="JSB2" s="235"/>
      <c r="JSC2" s="235"/>
      <c r="JSD2" s="235"/>
      <c r="JSE2" s="235"/>
      <c r="JSF2" s="235"/>
      <c r="JSG2" s="235"/>
      <c r="JSH2" s="235"/>
      <c r="JSI2" s="235"/>
      <c r="JSJ2" s="235"/>
      <c r="JSK2" s="235"/>
      <c r="JSL2" s="235"/>
      <c r="JSM2" s="235"/>
      <c r="JSN2" s="235"/>
      <c r="JSO2" s="235"/>
      <c r="JSP2" s="235"/>
      <c r="JSQ2" s="235"/>
      <c r="JSR2" s="235"/>
      <c r="JSS2" s="235"/>
      <c r="JST2" s="235"/>
      <c r="JSU2" s="235"/>
      <c r="JSV2" s="235"/>
      <c r="JSW2" s="235"/>
      <c r="JSX2" s="235"/>
      <c r="JSY2" s="235"/>
      <c r="JSZ2" s="235"/>
      <c r="JTA2" s="235"/>
      <c r="JTB2" s="235"/>
      <c r="JTC2" s="235"/>
      <c r="JTD2" s="235"/>
      <c r="JTE2" s="235"/>
      <c r="JTF2" s="235"/>
      <c r="JTG2" s="235"/>
      <c r="JTH2" s="235"/>
      <c r="JTI2" s="235"/>
      <c r="JTJ2" s="235"/>
      <c r="JTK2" s="235"/>
      <c r="JTL2" s="235"/>
      <c r="JTM2" s="235"/>
      <c r="JTN2" s="235"/>
      <c r="JTO2" s="235"/>
      <c r="JTP2" s="235"/>
      <c r="JTQ2" s="235"/>
      <c r="JTR2" s="235"/>
      <c r="JTS2" s="235"/>
      <c r="JTT2" s="235"/>
      <c r="JTU2" s="235"/>
      <c r="JTV2" s="235"/>
      <c r="JTW2" s="235"/>
      <c r="JTX2" s="235"/>
      <c r="JTY2" s="235"/>
      <c r="JTZ2" s="235"/>
      <c r="JUA2" s="235"/>
      <c r="JUB2" s="235"/>
      <c r="JUC2" s="235"/>
      <c r="JUD2" s="235"/>
      <c r="JUE2" s="235"/>
      <c r="JUF2" s="235"/>
      <c r="JUG2" s="235"/>
      <c r="JUH2" s="235"/>
      <c r="JUI2" s="235"/>
      <c r="JUJ2" s="235"/>
      <c r="JUK2" s="235"/>
      <c r="JUL2" s="235"/>
      <c r="JUM2" s="235"/>
      <c r="JUN2" s="235"/>
      <c r="JUO2" s="235"/>
      <c r="JUP2" s="235"/>
      <c r="JUQ2" s="235"/>
      <c r="JUR2" s="235"/>
      <c r="JUS2" s="235"/>
      <c r="JUT2" s="235"/>
      <c r="JUU2" s="235"/>
      <c r="JUV2" s="235"/>
      <c r="JUW2" s="235"/>
      <c r="JUX2" s="235"/>
      <c r="JUY2" s="235"/>
      <c r="JUZ2" s="235"/>
      <c r="JVA2" s="235"/>
      <c r="JVB2" s="235"/>
      <c r="JVC2" s="235"/>
      <c r="JVD2" s="235"/>
      <c r="JVE2" s="235"/>
      <c r="JVF2" s="235"/>
      <c r="JVG2" s="235"/>
      <c r="JVH2" s="235"/>
      <c r="JVI2" s="235"/>
      <c r="JVJ2" s="235"/>
      <c r="JVK2" s="235"/>
      <c r="JVL2" s="235"/>
      <c r="JVM2" s="235"/>
      <c r="JVN2" s="235"/>
      <c r="JVO2" s="235"/>
      <c r="JVP2" s="235"/>
      <c r="JVQ2" s="235"/>
      <c r="JVR2" s="235"/>
      <c r="JVS2" s="235"/>
      <c r="JVT2" s="235"/>
      <c r="JVU2" s="235"/>
      <c r="JVV2" s="235"/>
      <c r="JVW2" s="235"/>
      <c r="JVX2" s="235"/>
      <c r="JVY2" s="235"/>
      <c r="JVZ2" s="235"/>
      <c r="JWA2" s="235"/>
      <c r="JWB2" s="235"/>
      <c r="JWC2" s="235"/>
      <c r="JWD2" s="235"/>
      <c r="JWE2" s="235"/>
      <c r="JWF2" s="235"/>
      <c r="JWG2" s="235"/>
      <c r="JWH2" s="235"/>
      <c r="JWI2" s="235"/>
      <c r="JWJ2" s="235"/>
      <c r="JWK2" s="235"/>
      <c r="JWL2" s="235"/>
      <c r="JWM2" s="235"/>
      <c r="JWN2" s="235"/>
      <c r="JWO2" s="235"/>
      <c r="JWP2" s="235"/>
      <c r="JWQ2" s="235"/>
      <c r="JWR2" s="235"/>
      <c r="JWS2" s="235"/>
      <c r="JWT2" s="235"/>
      <c r="JWU2" s="235"/>
      <c r="JWV2" s="235"/>
      <c r="JWW2" s="235"/>
      <c r="JWX2" s="235"/>
      <c r="JWY2" s="235"/>
      <c r="JWZ2" s="235"/>
      <c r="JXA2" s="235"/>
      <c r="JXB2" s="235"/>
      <c r="JXC2" s="235"/>
      <c r="JXD2" s="235"/>
      <c r="JXE2" s="235"/>
      <c r="JXF2" s="235"/>
      <c r="JXG2" s="235"/>
      <c r="JXH2" s="235"/>
      <c r="JXI2" s="235"/>
      <c r="JXJ2" s="235"/>
      <c r="JXK2" s="235"/>
      <c r="JXL2" s="235"/>
      <c r="JXM2" s="235"/>
      <c r="JXN2" s="235"/>
      <c r="JXO2" s="235"/>
      <c r="JXP2" s="235"/>
      <c r="JXQ2" s="235"/>
      <c r="JXR2" s="235"/>
      <c r="JXS2" s="235"/>
      <c r="JXT2" s="235"/>
      <c r="JXU2" s="235"/>
      <c r="JXV2" s="235"/>
      <c r="JXW2" s="235"/>
      <c r="JXX2" s="235"/>
      <c r="JXY2" s="235"/>
      <c r="JXZ2" s="235"/>
      <c r="JYA2" s="235"/>
      <c r="JYB2" s="235"/>
      <c r="JYC2" s="235"/>
      <c r="JYD2" s="235"/>
      <c r="JYE2" s="235"/>
      <c r="JYF2" s="235"/>
      <c r="JYG2" s="235"/>
      <c r="JYH2" s="235"/>
      <c r="JYI2" s="235"/>
      <c r="JYJ2" s="235"/>
      <c r="JYK2" s="235"/>
      <c r="JYL2" s="235"/>
      <c r="JYM2" s="235"/>
      <c r="JYN2" s="235"/>
      <c r="JYO2" s="235"/>
      <c r="JYP2" s="235"/>
      <c r="JYQ2" s="235"/>
      <c r="JYR2" s="235"/>
      <c r="JYS2" s="235"/>
      <c r="JYT2" s="235"/>
      <c r="JYU2" s="235"/>
      <c r="JYV2" s="235"/>
      <c r="JYW2" s="235"/>
      <c r="JYX2" s="235"/>
      <c r="JYY2" s="235"/>
      <c r="JYZ2" s="235"/>
      <c r="JZA2" s="235"/>
      <c r="JZB2" s="235"/>
      <c r="JZC2" s="235"/>
      <c r="JZD2" s="235"/>
      <c r="JZE2" s="235"/>
      <c r="JZF2" s="235"/>
      <c r="JZG2" s="235"/>
      <c r="JZH2" s="235"/>
      <c r="JZI2" s="235"/>
      <c r="JZJ2" s="235"/>
      <c r="JZK2" s="235"/>
      <c r="JZL2" s="235"/>
      <c r="JZM2" s="235"/>
      <c r="JZN2" s="235"/>
      <c r="JZO2" s="235"/>
      <c r="JZP2" s="235"/>
      <c r="JZQ2" s="235"/>
      <c r="JZR2" s="235"/>
      <c r="JZS2" s="235"/>
      <c r="JZT2" s="235"/>
      <c r="JZU2" s="235"/>
      <c r="JZV2" s="235"/>
      <c r="JZW2" s="235"/>
      <c r="JZX2" s="235"/>
      <c r="JZY2" s="235"/>
      <c r="JZZ2" s="235"/>
      <c r="KAA2" s="235"/>
      <c r="KAB2" s="235"/>
      <c r="KAC2" s="235"/>
      <c r="KAD2" s="235"/>
      <c r="KAE2" s="235"/>
      <c r="KAF2" s="235"/>
      <c r="KAG2" s="235"/>
      <c r="KAH2" s="235"/>
      <c r="KAI2" s="235"/>
      <c r="KAJ2" s="235"/>
      <c r="KAK2" s="235"/>
      <c r="KAL2" s="235"/>
      <c r="KAM2" s="235"/>
      <c r="KAN2" s="235"/>
      <c r="KAO2" s="235"/>
      <c r="KAP2" s="235"/>
      <c r="KAQ2" s="235"/>
      <c r="KAR2" s="235"/>
      <c r="KAS2" s="235"/>
      <c r="KAT2" s="235"/>
      <c r="KAU2" s="235"/>
      <c r="KAV2" s="235"/>
      <c r="KAW2" s="235"/>
      <c r="KAX2" s="235"/>
      <c r="KAY2" s="235"/>
      <c r="KAZ2" s="235"/>
      <c r="KBA2" s="235"/>
      <c r="KBB2" s="235"/>
      <c r="KBC2" s="235"/>
      <c r="KBD2" s="235"/>
      <c r="KBE2" s="235"/>
      <c r="KBF2" s="235"/>
      <c r="KBG2" s="235"/>
      <c r="KBH2" s="235"/>
      <c r="KBI2" s="235"/>
      <c r="KBJ2" s="235"/>
      <c r="KBK2" s="235"/>
      <c r="KBL2" s="235"/>
      <c r="KBM2" s="235"/>
      <c r="KBN2" s="235"/>
      <c r="KBO2" s="235"/>
      <c r="KBP2" s="235"/>
      <c r="KBQ2" s="235"/>
      <c r="KBR2" s="235"/>
      <c r="KBS2" s="235"/>
      <c r="KBT2" s="235"/>
      <c r="KBU2" s="235"/>
      <c r="KBV2" s="235"/>
      <c r="KBW2" s="235"/>
      <c r="KBX2" s="235"/>
      <c r="KBY2" s="235"/>
      <c r="KBZ2" s="235"/>
      <c r="KCA2" s="235"/>
      <c r="KCB2" s="235"/>
      <c r="KCC2" s="235"/>
      <c r="KCD2" s="235"/>
      <c r="KCE2" s="235"/>
      <c r="KCF2" s="235"/>
      <c r="KCG2" s="235"/>
      <c r="KCH2" s="235"/>
      <c r="KCI2" s="235"/>
      <c r="KCJ2" s="235"/>
      <c r="KCK2" s="235"/>
      <c r="KCL2" s="235"/>
      <c r="KCM2" s="235"/>
      <c r="KCN2" s="235"/>
      <c r="KCO2" s="235"/>
      <c r="KCP2" s="235"/>
      <c r="KCQ2" s="235"/>
      <c r="KCR2" s="235"/>
      <c r="KCS2" s="235"/>
      <c r="KCT2" s="235"/>
      <c r="KCU2" s="235"/>
      <c r="KCV2" s="235"/>
      <c r="KCW2" s="235"/>
      <c r="KCX2" s="235"/>
      <c r="KCY2" s="235"/>
      <c r="KCZ2" s="235"/>
      <c r="KDA2" s="235"/>
      <c r="KDB2" s="235"/>
      <c r="KDC2" s="235"/>
      <c r="KDD2" s="235"/>
      <c r="KDE2" s="235"/>
      <c r="KDF2" s="235"/>
      <c r="KDG2" s="235"/>
      <c r="KDH2" s="235"/>
      <c r="KDI2" s="235"/>
      <c r="KDJ2" s="235"/>
      <c r="KDK2" s="235"/>
      <c r="KDL2" s="235"/>
      <c r="KDM2" s="235"/>
      <c r="KDN2" s="235"/>
      <c r="KDO2" s="235"/>
      <c r="KDP2" s="235"/>
      <c r="KDQ2" s="235"/>
      <c r="KDR2" s="235"/>
      <c r="KDS2" s="235"/>
      <c r="KDT2" s="235"/>
      <c r="KDU2" s="235"/>
      <c r="KDV2" s="235"/>
      <c r="KDW2" s="235"/>
      <c r="KDX2" s="235"/>
      <c r="KDY2" s="235"/>
      <c r="KDZ2" s="235"/>
      <c r="KEA2" s="235"/>
      <c r="KEB2" s="235"/>
      <c r="KEC2" s="235"/>
      <c r="KED2" s="235"/>
      <c r="KEE2" s="235"/>
      <c r="KEF2" s="235"/>
      <c r="KEG2" s="235"/>
      <c r="KEH2" s="235"/>
      <c r="KEI2" s="235"/>
      <c r="KEJ2" s="235"/>
      <c r="KEK2" s="235"/>
      <c r="KEL2" s="235"/>
      <c r="KEM2" s="235"/>
      <c r="KEN2" s="235"/>
      <c r="KEO2" s="235"/>
      <c r="KEP2" s="235"/>
      <c r="KEQ2" s="235"/>
      <c r="KER2" s="235"/>
      <c r="KES2" s="235"/>
      <c r="KET2" s="235"/>
      <c r="KEU2" s="235"/>
      <c r="KEV2" s="235"/>
      <c r="KEW2" s="235"/>
      <c r="KEX2" s="235"/>
      <c r="KEY2" s="235"/>
      <c r="KEZ2" s="235"/>
      <c r="KFA2" s="235"/>
      <c r="KFB2" s="235"/>
      <c r="KFC2" s="235"/>
      <c r="KFD2" s="235"/>
      <c r="KFE2" s="235"/>
      <c r="KFF2" s="235"/>
      <c r="KFG2" s="235"/>
      <c r="KFH2" s="235"/>
      <c r="KFI2" s="235"/>
      <c r="KFJ2" s="235"/>
      <c r="KFK2" s="235"/>
      <c r="KFL2" s="235"/>
      <c r="KFM2" s="235"/>
      <c r="KFN2" s="235"/>
      <c r="KFO2" s="235"/>
      <c r="KFP2" s="235"/>
      <c r="KFQ2" s="235"/>
      <c r="KFR2" s="235"/>
      <c r="KFS2" s="235"/>
      <c r="KFT2" s="235"/>
      <c r="KFU2" s="235"/>
      <c r="KFV2" s="235"/>
      <c r="KFW2" s="235"/>
      <c r="KFX2" s="235"/>
      <c r="KFY2" s="235"/>
      <c r="KFZ2" s="235"/>
      <c r="KGA2" s="235"/>
      <c r="KGB2" s="235"/>
      <c r="KGC2" s="235"/>
      <c r="KGD2" s="235"/>
      <c r="KGE2" s="235"/>
      <c r="KGF2" s="235"/>
      <c r="KGG2" s="235"/>
      <c r="KGH2" s="235"/>
      <c r="KGI2" s="235"/>
      <c r="KGJ2" s="235"/>
      <c r="KGK2" s="235"/>
      <c r="KGL2" s="235"/>
      <c r="KGM2" s="235"/>
      <c r="KGN2" s="235"/>
      <c r="KGO2" s="235"/>
      <c r="KGP2" s="235"/>
      <c r="KGQ2" s="235"/>
      <c r="KGR2" s="235"/>
      <c r="KGS2" s="235"/>
      <c r="KGT2" s="235"/>
      <c r="KGU2" s="235"/>
      <c r="KGV2" s="235"/>
      <c r="KGW2" s="235"/>
      <c r="KGX2" s="235"/>
      <c r="KGY2" s="235"/>
      <c r="KGZ2" s="235"/>
      <c r="KHA2" s="235"/>
      <c r="KHB2" s="235"/>
      <c r="KHC2" s="235"/>
      <c r="KHD2" s="235"/>
      <c r="KHE2" s="235"/>
      <c r="KHF2" s="235"/>
      <c r="KHG2" s="235"/>
      <c r="KHH2" s="235"/>
      <c r="KHI2" s="235"/>
      <c r="KHJ2" s="235"/>
      <c r="KHK2" s="235"/>
      <c r="KHL2" s="235"/>
      <c r="KHM2" s="235"/>
      <c r="KHN2" s="235"/>
      <c r="KHO2" s="235"/>
      <c r="KHP2" s="235"/>
      <c r="KHQ2" s="235"/>
      <c r="KHR2" s="235"/>
      <c r="KHS2" s="235"/>
      <c r="KHT2" s="235"/>
      <c r="KHU2" s="235"/>
      <c r="KHV2" s="235"/>
      <c r="KHW2" s="235"/>
      <c r="KHX2" s="235"/>
      <c r="KHY2" s="235"/>
      <c r="KHZ2" s="235"/>
      <c r="KIA2" s="235"/>
      <c r="KIB2" s="235"/>
      <c r="KIC2" s="235"/>
      <c r="KID2" s="235"/>
      <c r="KIE2" s="235"/>
      <c r="KIF2" s="235"/>
      <c r="KIG2" s="235"/>
      <c r="KIH2" s="235"/>
      <c r="KII2" s="235"/>
      <c r="KIJ2" s="235"/>
      <c r="KIK2" s="235"/>
      <c r="KIL2" s="235"/>
      <c r="KIM2" s="235"/>
      <c r="KIN2" s="235"/>
      <c r="KIO2" s="235"/>
      <c r="KIP2" s="235"/>
      <c r="KIQ2" s="235"/>
      <c r="KIR2" s="235"/>
      <c r="KIS2" s="235"/>
      <c r="KIT2" s="235"/>
      <c r="KIU2" s="235"/>
      <c r="KIV2" s="235"/>
      <c r="KIW2" s="235"/>
      <c r="KIX2" s="235"/>
      <c r="KIY2" s="235"/>
      <c r="KIZ2" s="235"/>
      <c r="KJA2" s="235"/>
      <c r="KJB2" s="235"/>
      <c r="KJC2" s="235"/>
      <c r="KJD2" s="235"/>
      <c r="KJE2" s="235"/>
      <c r="KJF2" s="235"/>
      <c r="KJG2" s="235"/>
      <c r="KJH2" s="235"/>
      <c r="KJI2" s="235"/>
      <c r="KJJ2" s="235"/>
      <c r="KJK2" s="235"/>
      <c r="KJL2" s="235"/>
      <c r="KJM2" s="235"/>
      <c r="KJN2" s="235"/>
      <c r="KJO2" s="235"/>
      <c r="KJP2" s="235"/>
      <c r="KJQ2" s="235"/>
      <c r="KJR2" s="235"/>
      <c r="KJS2" s="235"/>
      <c r="KJT2" s="235"/>
      <c r="KJU2" s="235"/>
      <c r="KJV2" s="235"/>
      <c r="KJW2" s="235"/>
      <c r="KJX2" s="235"/>
      <c r="KJY2" s="235"/>
      <c r="KJZ2" s="235"/>
      <c r="KKA2" s="235"/>
      <c r="KKB2" s="235"/>
      <c r="KKC2" s="235"/>
      <c r="KKD2" s="235"/>
      <c r="KKE2" s="235"/>
      <c r="KKF2" s="235"/>
      <c r="KKG2" s="235"/>
      <c r="KKH2" s="235"/>
      <c r="KKI2" s="235"/>
      <c r="KKJ2" s="235"/>
      <c r="KKK2" s="235"/>
      <c r="KKL2" s="235"/>
      <c r="KKM2" s="235"/>
      <c r="KKN2" s="235"/>
      <c r="KKO2" s="235"/>
      <c r="KKP2" s="235"/>
      <c r="KKQ2" s="235"/>
      <c r="KKR2" s="235"/>
      <c r="KKS2" s="235"/>
      <c r="KKT2" s="235"/>
      <c r="KKU2" s="235"/>
      <c r="KKV2" s="235"/>
      <c r="KKW2" s="235"/>
      <c r="KKX2" s="235"/>
      <c r="KKY2" s="235"/>
      <c r="KKZ2" s="235"/>
      <c r="KLA2" s="235"/>
      <c r="KLB2" s="235"/>
      <c r="KLC2" s="235"/>
      <c r="KLD2" s="235"/>
      <c r="KLE2" s="235"/>
      <c r="KLF2" s="235"/>
      <c r="KLG2" s="235"/>
      <c r="KLH2" s="235"/>
      <c r="KLI2" s="235"/>
      <c r="KLJ2" s="235"/>
      <c r="KLK2" s="235"/>
      <c r="KLL2" s="235"/>
      <c r="KLM2" s="235"/>
      <c r="KLN2" s="235"/>
      <c r="KLO2" s="235"/>
      <c r="KLP2" s="235"/>
      <c r="KLQ2" s="235"/>
      <c r="KLR2" s="235"/>
      <c r="KLS2" s="235"/>
      <c r="KLT2" s="235"/>
      <c r="KLU2" s="235"/>
      <c r="KLV2" s="235"/>
      <c r="KLW2" s="235"/>
      <c r="KLX2" s="235"/>
      <c r="KLY2" s="235"/>
      <c r="KLZ2" s="235"/>
      <c r="KMA2" s="235"/>
      <c r="KMB2" s="235"/>
      <c r="KMC2" s="235"/>
      <c r="KMD2" s="235"/>
      <c r="KME2" s="235"/>
      <c r="KMF2" s="235"/>
      <c r="KMG2" s="235"/>
      <c r="KMH2" s="235"/>
      <c r="KMI2" s="235"/>
      <c r="KMJ2" s="235"/>
      <c r="KMK2" s="235"/>
      <c r="KML2" s="235"/>
      <c r="KMM2" s="235"/>
      <c r="KMN2" s="235"/>
      <c r="KMO2" s="235"/>
      <c r="KMP2" s="235"/>
      <c r="KMQ2" s="235"/>
      <c r="KMR2" s="235"/>
      <c r="KMS2" s="235"/>
      <c r="KMT2" s="235"/>
      <c r="KMU2" s="235"/>
      <c r="KMV2" s="235"/>
      <c r="KMW2" s="235"/>
      <c r="KMX2" s="235"/>
      <c r="KMY2" s="235"/>
      <c r="KMZ2" s="235"/>
      <c r="KNA2" s="235"/>
      <c r="KNB2" s="235"/>
      <c r="KNC2" s="235"/>
      <c r="KND2" s="235"/>
      <c r="KNE2" s="235"/>
      <c r="KNF2" s="235"/>
      <c r="KNG2" s="235"/>
      <c r="KNH2" s="235"/>
      <c r="KNI2" s="235"/>
      <c r="KNJ2" s="235"/>
      <c r="KNK2" s="235"/>
      <c r="KNL2" s="235"/>
      <c r="KNM2" s="235"/>
      <c r="KNN2" s="235"/>
      <c r="KNO2" s="235"/>
      <c r="KNP2" s="235"/>
      <c r="KNQ2" s="235"/>
      <c r="KNR2" s="235"/>
      <c r="KNS2" s="235"/>
      <c r="KNT2" s="235"/>
      <c r="KNU2" s="235"/>
      <c r="KNV2" s="235"/>
      <c r="KNW2" s="235"/>
      <c r="KNX2" s="235"/>
      <c r="KNY2" s="235"/>
      <c r="KNZ2" s="235"/>
      <c r="KOA2" s="235"/>
      <c r="KOB2" s="235"/>
      <c r="KOC2" s="235"/>
      <c r="KOD2" s="235"/>
      <c r="KOE2" s="235"/>
      <c r="KOF2" s="235"/>
      <c r="KOG2" s="235"/>
      <c r="KOH2" s="235"/>
      <c r="KOI2" s="235"/>
      <c r="KOJ2" s="235"/>
      <c r="KOK2" s="235"/>
      <c r="KOL2" s="235"/>
      <c r="KOM2" s="235"/>
      <c r="KON2" s="235"/>
      <c r="KOO2" s="235"/>
      <c r="KOP2" s="235"/>
      <c r="KOQ2" s="235"/>
      <c r="KOR2" s="235"/>
      <c r="KOS2" s="235"/>
      <c r="KOT2" s="235"/>
      <c r="KOU2" s="235"/>
      <c r="KOV2" s="235"/>
      <c r="KOW2" s="235"/>
      <c r="KOX2" s="235"/>
      <c r="KOY2" s="235"/>
      <c r="KOZ2" s="235"/>
      <c r="KPA2" s="235"/>
      <c r="KPB2" s="235"/>
      <c r="KPC2" s="235"/>
      <c r="KPD2" s="235"/>
      <c r="KPE2" s="235"/>
      <c r="KPF2" s="235"/>
      <c r="KPG2" s="235"/>
      <c r="KPH2" s="235"/>
      <c r="KPI2" s="235"/>
      <c r="KPJ2" s="235"/>
      <c r="KPK2" s="235"/>
      <c r="KPL2" s="235"/>
      <c r="KPM2" s="235"/>
      <c r="KPN2" s="235"/>
      <c r="KPO2" s="235"/>
      <c r="KPP2" s="235"/>
      <c r="KPQ2" s="235"/>
      <c r="KPR2" s="235"/>
      <c r="KPS2" s="235"/>
      <c r="KPT2" s="235"/>
      <c r="KPU2" s="235"/>
      <c r="KPV2" s="235"/>
      <c r="KPW2" s="235"/>
      <c r="KPX2" s="235"/>
      <c r="KPY2" s="235"/>
      <c r="KPZ2" s="235"/>
      <c r="KQA2" s="235"/>
      <c r="KQB2" s="235"/>
      <c r="KQC2" s="235"/>
      <c r="KQD2" s="235"/>
      <c r="KQE2" s="235"/>
      <c r="KQF2" s="235"/>
      <c r="KQG2" s="235"/>
      <c r="KQH2" s="235"/>
      <c r="KQI2" s="235"/>
      <c r="KQJ2" s="235"/>
      <c r="KQK2" s="235"/>
      <c r="KQL2" s="235"/>
      <c r="KQM2" s="235"/>
      <c r="KQN2" s="235"/>
      <c r="KQO2" s="235"/>
      <c r="KQP2" s="235"/>
      <c r="KQQ2" s="235"/>
      <c r="KQR2" s="235"/>
      <c r="KQS2" s="235"/>
      <c r="KQT2" s="235"/>
      <c r="KQU2" s="235"/>
      <c r="KQV2" s="235"/>
      <c r="KQW2" s="235"/>
      <c r="KQX2" s="235"/>
      <c r="KQY2" s="235"/>
      <c r="KQZ2" s="235"/>
      <c r="KRA2" s="235"/>
      <c r="KRB2" s="235"/>
      <c r="KRC2" s="235"/>
      <c r="KRD2" s="235"/>
      <c r="KRE2" s="235"/>
      <c r="KRF2" s="235"/>
      <c r="KRG2" s="235"/>
      <c r="KRH2" s="235"/>
      <c r="KRI2" s="235"/>
      <c r="KRJ2" s="235"/>
      <c r="KRK2" s="235"/>
      <c r="KRL2" s="235"/>
      <c r="KRM2" s="235"/>
      <c r="KRN2" s="235"/>
      <c r="KRO2" s="235"/>
      <c r="KRP2" s="235"/>
      <c r="KRQ2" s="235"/>
      <c r="KRR2" s="235"/>
      <c r="KRS2" s="235"/>
      <c r="KRT2" s="235"/>
      <c r="KRU2" s="235"/>
      <c r="KRV2" s="235"/>
      <c r="KRW2" s="235"/>
      <c r="KRX2" s="235"/>
      <c r="KRY2" s="235"/>
      <c r="KRZ2" s="235"/>
      <c r="KSA2" s="235"/>
      <c r="KSB2" s="235"/>
      <c r="KSC2" s="235"/>
      <c r="KSD2" s="235"/>
      <c r="KSE2" s="235"/>
      <c r="KSF2" s="235"/>
      <c r="KSG2" s="235"/>
      <c r="KSH2" s="235"/>
      <c r="KSI2" s="235"/>
      <c r="KSJ2" s="235"/>
      <c r="KSK2" s="235"/>
      <c r="KSL2" s="235"/>
      <c r="KSM2" s="235"/>
      <c r="KSN2" s="235"/>
      <c r="KSO2" s="235"/>
      <c r="KSP2" s="235"/>
      <c r="KSQ2" s="235"/>
      <c r="KSR2" s="235"/>
      <c r="KSS2" s="235"/>
      <c r="KST2" s="235"/>
      <c r="KSU2" s="235"/>
      <c r="KSV2" s="235"/>
      <c r="KSW2" s="235"/>
      <c r="KSX2" s="235"/>
      <c r="KSY2" s="235"/>
      <c r="KSZ2" s="235"/>
      <c r="KTA2" s="235"/>
      <c r="KTB2" s="235"/>
      <c r="KTC2" s="235"/>
      <c r="KTD2" s="235"/>
      <c r="KTE2" s="235"/>
      <c r="KTF2" s="235"/>
      <c r="KTG2" s="235"/>
      <c r="KTH2" s="235"/>
      <c r="KTI2" s="235"/>
      <c r="KTJ2" s="235"/>
      <c r="KTK2" s="235"/>
      <c r="KTL2" s="235"/>
      <c r="KTM2" s="235"/>
      <c r="KTN2" s="235"/>
      <c r="KTO2" s="235"/>
      <c r="KTP2" s="235"/>
      <c r="KTQ2" s="235"/>
      <c r="KTR2" s="235"/>
      <c r="KTS2" s="235"/>
      <c r="KTT2" s="235"/>
      <c r="KTU2" s="235"/>
      <c r="KTV2" s="235"/>
      <c r="KTW2" s="235"/>
      <c r="KTX2" s="235"/>
      <c r="KTY2" s="235"/>
      <c r="KTZ2" s="235"/>
      <c r="KUA2" s="235"/>
      <c r="KUB2" s="235"/>
      <c r="KUC2" s="235"/>
      <c r="KUD2" s="235"/>
      <c r="KUE2" s="235"/>
      <c r="KUF2" s="235"/>
      <c r="KUG2" s="235"/>
      <c r="KUH2" s="235"/>
      <c r="KUI2" s="235"/>
      <c r="KUJ2" s="235"/>
      <c r="KUK2" s="235"/>
      <c r="KUL2" s="235"/>
      <c r="KUM2" s="235"/>
      <c r="KUN2" s="235"/>
      <c r="KUO2" s="235"/>
      <c r="KUP2" s="235"/>
      <c r="KUQ2" s="235"/>
      <c r="KUR2" s="235"/>
      <c r="KUS2" s="235"/>
      <c r="KUT2" s="235"/>
      <c r="KUU2" s="235"/>
      <c r="KUV2" s="235"/>
      <c r="KUW2" s="235"/>
      <c r="KUX2" s="235"/>
      <c r="KUY2" s="235"/>
      <c r="KUZ2" s="235"/>
      <c r="KVA2" s="235"/>
      <c r="KVB2" s="235"/>
      <c r="KVC2" s="235"/>
      <c r="KVD2" s="235"/>
      <c r="KVE2" s="235"/>
      <c r="KVF2" s="235"/>
      <c r="KVG2" s="235"/>
      <c r="KVH2" s="235"/>
      <c r="KVI2" s="235"/>
      <c r="KVJ2" s="235"/>
      <c r="KVK2" s="235"/>
      <c r="KVL2" s="235"/>
      <c r="KVM2" s="235"/>
      <c r="KVN2" s="235"/>
      <c r="KVO2" s="235"/>
      <c r="KVP2" s="235"/>
      <c r="KVQ2" s="235"/>
      <c r="KVR2" s="235"/>
      <c r="KVS2" s="235"/>
      <c r="KVT2" s="235"/>
      <c r="KVU2" s="235"/>
      <c r="KVV2" s="235"/>
      <c r="KVW2" s="235"/>
      <c r="KVX2" s="235"/>
      <c r="KVY2" s="235"/>
      <c r="KVZ2" s="235"/>
      <c r="KWA2" s="235"/>
      <c r="KWB2" s="235"/>
      <c r="KWC2" s="235"/>
      <c r="KWD2" s="235"/>
      <c r="KWE2" s="235"/>
      <c r="KWF2" s="235"/>
      <c r="KWG2" s="235"/>
      <c r="KWH2" s="235"/>
      <c r="KWI2" s="235"/>
      <c r="KWJ2" s="235"/>
      <c r="KWK2" s="235"/>
      <c r="KWL2" s="235"/>
      <c r="KWM2" s="235"/>
      <c r="KWN2" s="235"/>
      <c r="KWO2" s="235"/>
      <c r="KWP2" s="235"/>
      <c r="KWQ2" s="235"/>
      <c r="KWR2" s="235"/>
      <c r="KWS2" s="235"/>
      <c r="KWT2" s="235"/>
      <c r="KWU2" s="235"/>
      <c r="KWV2" s="235"/>
      <c r="KWW2" s="235"/>
      <c r="KWX2" s="235"/>
      <c r="KWY2" s="235"/>
      <c r="KWZ2" s="235"/>
      <c r="KXA2" s="235"/>
      <c r="KXB2" s="235"/>
      <c r="KXC2" s="235"/>
      <c r="KXD2" s="235"/>
      <c r="KXE2" s="235"/>
      <c r="KXF2" s="235"/>
      <c r="KXG2" s="235"/>
      <c r="KXH2" s="235"/>
      <c r="KXI2" s="235"/>
      <c r="KXJ2" s="235"/>
      <c r="KXK2" s="235"/>
      <c r="KXL2" s="235"/>
      <c r="KXM2" s="235"/>
      <c r="KXN2" s="235"/>
      <c r="KXO2" s="235"/>
      <c r="KXP2" s="235"/>
      <c r="KXQ2" s="235"/>
      <c r="KXR2" s="235"/>
      <c r="KXS2" s="235"/>
      <c r="KXT2" s="235"/>
      <c r="KXU2" s="235"/>
      <c r="KXV2" s="235"/>
      <c r="KXW2" s="235"/>
      <c r="KXX2" s="235"/>
      <c r="KXY2" s="235"/>
      <c r="KXZ2" s="235"/>
      <c r="KYA2" s="235"/>
      <c r="KYB2" s="235"/>
      <c r="KYC2" s="235"/>
      <c r="KYD2" s="235"/>
      <c r="KYE2" s="235"/>
      <c r="KYF2" s="235"/>
      <c r="KYG2" s="235"/>
      <c r="KYH2" s="235"/>
      <c r="KYI2" s="235"/>
      <c r="KYJ2" s="235"/>
      <c r="KYK2" s="235"/>
      <c r="KYL2" s="235"/>
      <c r="KYM2" s="235"/>
      <c r="KYN2" s="235"/>
      <c r="KYO2" s="235"/>
      <c r="KYP2" s="235"/>
      <c r="KYQ2" s="235"/>
      <c r="KYR2" s="235"/>
      <c r="KYS2" s="235"/>
      <c r="KYT2" s="235"/>
      <c r="KYU2" s="235"/>
      <c r="KYV2" s="235"/>
      <c r="KYW2" s="235"/>
      <c r="KYX2" s="235"/>
      <c r="KYY2" s="235"/>
      <c r="KYZ2" s="235"/>
      <c r="KZA2" s="235"/>
      <c r="KZB2" s="235"/>
      <c r="KZC2" s="235"/>
      <c r="KZD2" s="235"/>
      <c r="KZE2" s="235"/>
      <c r="KZF2" s="235"/>
      <c r="KZG2" s="235"/>
      <c r="KZH2" s="235"/>
      <c r="KZI2" s="235"/>
      <c r="KZJ2" s="235"/>
      <c r="KZK2" s="235"/>
      <c r="KZL2" s="235"/>
      <c r="KZM2" s="235"/>
      <c r="KZN2" s="235"/>
      <c r="KZO2" s="235"/>
      <c r="KZP2" s="235"/>
      <c r="KZQ2" s="235"/>
      <c r="KZR2" s="235"/>
      <c r="KZS2" s="235"/>
      <c r="KZT2" s="235"/>
      <c r="KZU2" s="235"/>
      <c r="KZV2" s="235"/>
      <c r="KZW2" s="235"/>
      <c r="KZX2" s="235"/>
      <c r="KZY2" s="235"/>
      <c r="KZZ2" s="235"/>
      <c r="LAA2" s="235"/>
      <c r="LAB2" s="235"/>
      <c r="LAC2" s="235"/>
      <c r="LAD2" s="235"/>
      <c r="LAE2" s="235"/>
      <c r="LAF2" s="235"/>
      <c r="LAG2" s="235"/>
      <c r="LAH2" s="235"/>
      <c r="LAI2" s="235"/>
      <c r="LAJ2" s="235"/>
      <c r="LAK2" s="235"/>
      <c r="LAL2" s="235"/>
      <c r="LAM2" s="235"/>
      <c r="LAN2" s="235"/>
      <c r="LAO2" s="235"/>
      <c r="LAP2" s="235"/>
      <c r="LAQ2" s="235"/>
      <c r="LAR2" s="235"/>
      <c r="LAS2" s="235"/>
      <c r="LAT2" s="235"/>
      <c r="LAU2" s="235"/>
      <c r="LAV2" s="235"/>
      <c r="LAW2" s="235"/>
      <c r="LAX2" s="235"/>
      <c r="LAY2" s="235"/>
      <c r="LAZ2" s="235"/>
      <c r="LBA2" s="235"/>
      <c r="LBB2" s="235"/>
      <c r="LBC2" s="235"/>
      <c r="LBD2" s="235"/>
      <c r="LBE2" s="235"/>
      <c r="LBF2" s="235"/>
      <c r="LBG2" s="235"/>
      <c r="LBH2" s="235"/>
      <c r="LBI2" s="235"/>
      <c r="LBJ2" s="235"/>
      <c r="LBK2" s="235"/>
      <c r="LBL2" s="235"/>
      <c r="LBM2" s="235"/>
      <c r="LBN2" s="235"/>
      <c r="LBO2" s="235"/>
      <c r="LBP2" s="235"/>
      <c r="LBQ2" s="235"/>
      <c r="LBR2" s="235"/>
      <c r="LBS2" s="235"/>
      <c r="LBT2" s="235"/>
      <c r="LBU2" s="235"/>
      <c r="LBV2" s="235"/>
      <c r="LBW2" s="235"/>
      <c r="LBX2" s="235"/>
      <c r="LBY2" s="235"/>
      <c r="LBZ2" s="235"/>
      <c r="LCA2" s="235"/>
      <c r="LCB2" s="235"/>
      <c r="LCC2" s="235"/>
      <c r="LCD2" s="235"/>
      <c r="LCE2" s="235"/>
      <c r="LCF2" s="235"/>
      <c r="LCG2" s="235"/>
      <c r="LCH2" s="235"/>
      <c r="LCI2" s="235"/>
      <c r="LCJ2" s="235"/>
      <c r="LCK2" s="235"/>
      <c r="LCL2" s="235"/>
      <c r="LCM2" s="235"/>
      <c r="LCN2" s="235"/>
      <c r="LCO2" s="235"/>
      <c r="LCP2" s="235"/>
      <c r="LCQ2" s="235"/>
      <c r="LCR2" s="235"/>
      <c r="LCS2" s="235"/>
      <c r="LCT2" s="235"/>
      <c r="LCU2" s="235"/>
      <c r="LCV2" s="235"/>
      <c r="LCW2" s="235"/>
      <c r="LCX2" s="235"/>
      <c r="LCY2" s="235"/>
      <c r="LCZ2" s="235"/>
      <c r="LDA2" s="235"/>
      <c r="LDB2" s="235"/>
      <c r="LDC2" s="235"/>
      <c r="LDD2" s="235"/>
      <c r="LDE2" s="235"/>
      <c r="LDF2" s="235"/>
      <c r="LDG2" s="235"/>
      <c r="LDH2" s="235"/>
      <c r="LDI2" s="235"/>
      <c r="LDJ2" s="235"/>
      <c r="LDK2" s="235"/>
      <c r="LDL2" s="235"/>
      <c r="LDM2" s="235"/>
      <c r="LDN2" s="235"/>
      <c r="LDO2" s="235"/>
      <c r="LDP2" s="235"/>
      <c r="LDQ2" s="235"/>
      <c r="LDR2" s="235"/>
      <c r="LDS2" s="235"/>
      <c r="LDT2" s="235"/>
      <c r="LDU2" s="235"/>
      <c r="LDV2" s="235"/>
      <c r="LDW2" s="235"/>
      <c r="LDX2" s="235"/>
      <c r="LDY2" s="235"/>
      <c r="LDZ2" s="235"/>
      <c r="LEA2" s="235"/>
      <c r="LEB2" s="235"/>
      <c r="LEC2" s="235"/>
      <c r="LED2" s="235"/>
      <c r="LEE2" s="235"/>
      <c r="LEF2" s="235"/>
      <c r="LEG2" s="235"/>
      <c r="LEH2" s="235"/>
      <c r="LEI2" s="235"/>
      <c r="LEJ2" s="235"/>
      <c r="LEK2" s="235"/>
      <c r="LEL2" s="235"/>
      <c r="LEM2" s="235"/>
      <c r="LEN2" s="235"/>
      <c r="LEO2" s="235"/>
      <c r="LEP2" s="235"/>
      <c r="LEQ2" s="235"/>
      <c r="LER2" s="235"/>
      <c r="LES2" s="235"/>
      <c r="LET2" s="235"/>
      <c r="LEU2" s="235"/>
      <c r="LEV2" s="235"/>
      <c r="LEW2" s="235"/>
      <c r="LEX2" s="235"/>
      <c r="LEY2" s="235"/>
      <c r="LEZ2" s="235"/>
      <c r="LFA2" s="235"/>
      <c r="LFB2" s="235"/>
      <c r="LFC2" s="235"/>
      <c r="LFD2" s="235"/>
      <c r="LFE2" s="235"/>
      <c r="LFF2" s="235"/>
      <c r="LFG2" s="235"/>
      <c r="LFH2" s="235"/>
      <c r="LFI2" s="235"/>
      <c r="LFJ2" s="235"/>
      <c r="LFK2" s="235"/>
      <c r="LFL2" s="235"/>
      <c r="LFM2" s="235"/>
      <c r="LFN2" s="235"/>
      <c r="LFO2" s="235"/>
      <c r="LFP2" s="235"/>
      <c r="LFQ2" s="235"/>
      <c r="LFR2" s="235"/>
      <c r="LFS2" s="235"/>
      <c r="LFT2" s="235"/>
      <c r="LFU2" s="235"/>
      <c r="LFV2" s="235"/>
      <c r="LFW2" s="235"/>
      <c r="LFX2" s="235"/>
      <c r="LFY2" s="235"/>
      <c r="LFZ2" s="235"/>
      <c r="LGA2" s="235"/>
      <c r="LGB2" s="235"/>
      <c r="LGC2" s="235"/>
      <c r="LGD2" s="235"/>
      <c r="LGE2" s="235"/>
      <c r="LGF2" s="235"/>
      <c r="LGG2" s="235"/>
      <c r="LGH2" s="235"/>
      <c r="LGI2" s="235"/>
      <c r="LGJ2" s="235"/>
      <c r="LGK2" s="235"/>
      <c r="LGL2" s="235"/>
      <c r="LGM2" s="235"/>
      <c r="LGN2" s="235"/>
      <c r="LGO2" s="235"/>
      <c r="LGP2" s="235"/>
      <c r="LGQ2" s="235"/>
      <c r="LGR2" s="235"/>
      <c r="LGS2" s="235"/>
      <c r="LGT2" s="235"/>
      <c r="LGU2" s="235"/>
      <c r="LGV2" s="235"/>
      <c r="LGW2" s="235"/>
      <c r="LGX2" s="235"/>
      <c r="LGY2" s="235"/>
      <c r="LGZ2" s="235"/>
      <c r="LHA2" s="235"/>
      <c r="LHB2" s="235"/>
      <c r="LHC2" s="235"/>
      <c r="LHD2" s="235"/>
      <c r="LHE2" s="235"/>
      <c r="LHF2" s="235"/>
      <c r="LHG2" s="235"/>
      <c r="LHH2" s="235"/>
      <c r="LHI2" s="235"/>
      <c r="LHJ2" s="235"/>
      <c r="LHK2" s="235"/>
      <c r="LHL2" s="235"/>
      <c r="LHM2" s="235"/>
      <c r="LHN2" s="235"/>
      <c r="LHO2" s="235"/>
      <c r="LHP2" s="235"/>
      <c r="LHQ2" s="235"/>
      <c r="LHR2" s="235"/>
      <c r="LHS2" s="235"/>
      <c r="LHT2" s="235"/>
      <c r="LHU2" s="235"/>
      <c r="LHV2" s="235"/>
      <c r="LHW2" s="235"/>
      <c r="LHX2" s="235"/>
      <c r="LHY2" s="235"/>
      <c r="LHZ2" s="235"/>
      <c r="LIA2" s="235"/>
      <c r="LIB2" s="235"/>
      <c r="LIC2" s="235"/>
      <c r="LID2" s="235"/>
      <c r="LIE2" s="235"/>
      <c r="LIF2" s="235"/>
      <c r="LIG2" s="235"/>
      <c r="LIH2" s="235"/>
      <c r="LII2" s="235"/>
      <c r="LIJ2" s="235"/>
      <c r="LIK2" s="235"/>
      <c r="LIL2" s="235"/>
      <c r="LIM2" s="235"/>
      <c r="LIN2" s="235"/>
      <c r="LIO2" s="235"/>
      <c r="LIP2" s="235"/>
      <c r="LIQ2" s="235"/>
      <c r="LIR2" s="235"/>
      <c r="LIS2" s="235"/>
      <c r="LIT2" s="235"/>
      <c r="LIU2" s="235"/>
      <c r="LIV2" s="235"/>
      <c r="LIW2" s="235"/>
      <c r="LIX2" s="235"/>
      <c r="LIY2" s="235"/>
      <c r="LIZ2" s="235"/>
      <c r="LJA2" s="235"/>
      <c r="LJB2" s="235"/>
      <c r="LJC2" s="235"/>
      <c r="LJD2" s="235"/>
      <c r="LJE2" s="235"/>
      <c r="LJF2" s="235"/>
      <c r="LJG2" s="235"/>
      <c r="LJH2" s="235"/>
      <c r="LJI2" s="235"/>
      <c r="LJJ2" s="235"/>
      <c r="LJK2" s="235"/>
      <c r="LJL2" s="235"/>
      <c r="LJM2" s="235"/>
      <c r="LJN2" s="235"/>
      <c r="LJO2" s="235"/>
      <c r="LJP2" s="235"/>
      <c r="LJQ2" s="235"/>
      <c r="LJR2" s="235"/>
      <c r="LJS2" s="235"/>
      <c r="LJT2" s="235"/>
      <c r="LJU2" s="235"/>
      <c r="LJV2" s="235"/>
      <c r="LJW2" s="235"/>
      <c r="LJX2" s="235"/>
      <c r="LJY2" s="235"/>
      <c r="LJZ2" s="235"/>
      <c r="LKA2" s="235"/>
      <c r="LKB2" s="235"/>
      <c r="LKC2" s="235"/>
      <c r="LKD2" s="235"/>
      <c r="LKE2" s="235"/>
      <c r="LKF2" s="235"/>
      <c r="LKG2" s="235"/>
      <c r="LKH2" s="235"/>
      <c r="LKI2" s="235"/>
      <c r="LKJ2" s="235"/>
      <c r="LKK2" s="235"/>
      <c r="LKL2" s="235"/>
      <c r="LKM2" s="235"/>
      <c r="LKN2" s="235"/>
      <c r="LKO2" s="235"/>
      <c r="LKP2" s="235"/>
      <c r="LKQ2" s="235"/>
      <c r="LKR2" s="235"/>
      <c r="LKS2" s="235"/>
      <c r="LKT2" s="235"/>
      <c r="LKU2" s="235"/>
      <c r="LKV2" s="235"/>
      <c r="LKW2" s="235"/>
      <c r="LKX2" s="235"/>
      <c r="LKY2" s="235"/>
      <c r="LKZ2" s="235"/>
      <c r="LLA2" s="235"/>
      <c r="LLB2" s="235"/>
      <c r="LLC2" s="235"/>
      <c r="LLD2" s="235"/>
      <c r="LLE2" s="235"/>
      <c r="LLF2" s="235"/>
      <c r="LLG2" s="235"/>
      <c r="LLH2" s="235"/>
      <c r="LLI2" s="235"/>
      <c r="LLJ2" s="235"/>
      <c r="LLK2" s="235"/>
      <c r="LLL2" s="235"/>
      <c r="LLM2" s="235"/>
      <c r="LLN2" s="235"/>
      <c r="LLO2" s="235"/>
      <c r="LLP2" s="235"/>
      <c r="LLQ2" s="235"/>
      <c r="LLR2" s="235"/>
      <c r="LLS2" s="235"/>
      <c r="LLT2" s="235"/>
      <c r="LLU2" s="235"/>
      <c r="LLV2" s="235"/>
      <c r="LLW2" s="235"/>
      <c r="LLX2" s="235"/>
      <c r="LLY2" s="235"/>
      <c r="LLZ2" s="235"/>
      <c r="LMA2" s="235"/>
      <c r="LMB2" s="235"/>
      <c r="LMC2" s="235"/>
      <c r="LMD2" s="235"/>
      <c r="LME2" s="235"/>
      <c r="LMF2" s="235"/>
      <c r="LMG2" s="235"/>
      <c r="LMH2" s="235"/>
      <c r="LMI2" s="235"/>
      <c r="LMJ2" s="235"/>
      <c r="LMK2" s="235"/>
      <c r="LML2" s="235"/>
      <c r="LMM2" s="235"/>
      <c r="LMN2" s="235"/>
      <c r="LMO2" s="235"/>
      <c r="LMP2" s="235"/>
      <c r="LMQ2" s="235"/>
      <c r="LMR2" s="235"/>
      <c r="LMS2" s="235"/>
      <c r="LMT2" s="235"/>
      <c r="LMU2" s="235"/>
      <c r="LMV2" s="235"/>
      <c r="LMW2" s="235"/>
      <c r="LMX2" s="235"/>
      <c r="LMY2" s="235"/>
      <c r="LMZ2" s="235"/>
      <c r="LNA2" s="235"/>
      <c r="LNB2" s="235"/>
      <c r="LNC2" s="235"/>
      <c r="LND2" s="235"/>
      <c r="LNE2" s="235"/>
      <c r="LNF2" s="235"/>
      <c r="LNG2" s="235"/>
      <c r="LNH2" s="235"/>
      <c r="LNI2" s="235"/>
      <c r="LNJ2" s="235"/>
      <c r="LNK2" s="235"/>
      <c r="LNL2" s="235"/>
      <c r="LNM2" s="235"/>
      <c r="LNN2" s="235"/>
      <c r="LNO2" s="235"/>
      <c r="LNP2" s="235"/>
      <c r="LNQ2" s="235"/>
      <c r="LNR2" s="235"/>
      <c r="LNS2" s="235"/>
      <c r="LNT2" s="235"/>
      <c r="LNU2" s="235"/>
      <c r="LNV2" s="235"/>
      <c r="LNW2" s="235"/>
      <c r="LNX2" s="235"/>
      <c r="LNY2" s="235"/>
      <c r="LNZ2" s="235"/>
      <c r="LOA2" s="235"/>
      <c r="LOB2" s="235"/>
      <c r="LOC2" s="235"/>
      <c r="LOD2" s="235"/>
      <c r="LOE2" s="235"/>
      <c r="LOF2" s="235"/>
      <c r="LOG2" s="235"/>
      <c r="LOH2" s="235"/>
      <c r="LOI2" s="235"/>
      <c r="LOJ2" s="235"/>
      <c r="LOK2" s="235"/>
      <c r="LOL2" s="235"/>
      <c r="LOM2" s="235"/>
      <c r="LON2" s="235"/>
      <c r="LOO2" s="235"/>
      <c r="LOP2" s="235"/>
      <c r="LOQ2" s="235"/>
      <c r="LOR2" s="235"/>
      <c r="LOS2" s="235"/>
      <c r="LOT2" s="235"/>
      <c r="LOU2" s="235"/>
      <c r="LOV2" s="235"/>
      <c r="LOW2" s="235"/>
      <c r="LOX2" s="235"/>
      <c r="LOY2" s="235"/>
      <c r="LOZ2" s="235"/>
      <c r="LPA2" s="235"/>
      <c r="LPB2" s="235"/>
      <c r="LPC2" s="235"/>
      <c r="LPD2" s="235"/>
      <c r="LPE2" s="235"/>
      <c r="LPF2" s="235"/>
      <c r="LPG2" s="235"/>
      <c r="LPH2" s="235"/>
      <c r="LPI2" s="235"/>
      <c r="LPJ2" s="235"/>
      <c r="LPK2" s="235"/>
      <c r="LPL2" s="235"/>
      <c r="LPM2" s="235"/>
      <c r="LPN2" s="235"/>
      <c r="LPO2" s="235"/>
      <c r="LPP2" s="235"/>
      <c r="LPQ2" s="235"/>
      <c r="LPR2" s="235"/>
      <c r="LPS2" s="235"/>
      <c r="LPT2" s="235"/>
      <c r="LPU2" s="235"/>
      <c r="LPV2" s="235"/>
      <c r="LPW2" s="235"/>
      <c r="LPX2" s="235"/>
      <c r="LPY2" s="235"/>
      <c r="LPZ2" s="235"/>
      <c r="LQA2" s="235"/>
      <c r="LQB2" s="235"/>
      <c r="LQC2" s="235"/>
      <c r="LQD2" s="235"/>
      <c r="LQE2" s="235"/>
      <c r="LQF2" s="235"/>
      <c r="LQG2" s="235"/>
      <c r="LQH2" s="235"/>
      <c r="LQI2" s="235"/>
      <c r="LQJ2" s="235"/>
      <c r="LQK2" s="235"/>
      <c r="LQL2" s="235"/>
      <c r="LQM2" s="235"/>
      <c r="LQN2" s="235"/>
      <c r="LQO2" s="235"/>
      <c r="LQP2" s="235"/>
      <c r="LQQ2" s="235"/>
      <c r="LQR2" s="235"/>
      <c r="LQS2" s="235"/>
      <c r="LQT2" s="235"/>
      <c r="LQU2" s="235"/>
      <c r="LQV2" s="235"/>
      <c r="LQW2" s="235"/>
      <c r="LQX2" s="235"/>
      <c r="LQY2" s="235"/>
      <c r="LQZ2" s="235"/>
      <c r="LRA2" s="235"/>
      <c r="LRB2" s="235"/>
      <c r="LRC2" s="235"/>
      <c r="LRD2" s="235"/>
      <c r="LRE2" s="235"/>
      <c r="LRF2" s="235"/>
      <c r="LRG2" s="235"/>
      <c r="LRH2" s="235"/>
      <c r="LRI2" s="235"/>
      <c r="LRJ2" s="235"/>
      <c r="LRK2" s="235"/>
      <c r="LRL2" s="235"/>
      <c r="LRM2" s="235"/>
      <c r="LRN2" s="235"/>
      <c r="LRO2" s="235"/>
      <c r="LRP2" s="235"/>
      <c r="LRQ2" s="235"/>
      <c r="LRR2" s="235"/>
      <c r="LRS2" s="235"/>
      <c r="LRT2" s="235"/>
      <c r="LRU2" s="235"/>
      <c r="LRV2" s="235"/>
      <c r="LRW2" s="235"/>
      <c r="LRX2" s="235"/>
      <c r="LRY2" s="235"/>
      <c r="LRZ2" s="235"/>
      <c r="LSA2" s="235"/>
      <c r="LSB2" s="235"/>
      <c r="LSC2" s="235"/>
      <c r="LSD2" s="235"/>
      <c r="LSE2" s="235"/>
      <c r="LSF2" s="235"/>
      <c r="LSG2" s="235"/>
      <c r="LSH2" s="235"/>
      <c r="LSI2" s="235"/>
      <c r="LSJ2" s="235"/>
      <c r="LSK2" s="235"/>
      <c r="LSL2" s="235"/>
      <c r="LSM2" s="235"/>
      <c r="LSN2" s="235"/>
      <c r="LSO2" s="235"/>
      <c r="LSP2" s="235"/>
      <c r="LSQ2" s="235"/>
      <c r="LSR2" s="235"/>
      <c r="LSS2" s="235"/>
      <c r="LST2" s="235"/>
      <c r="LSU2" s="235"/>
      <c r="LSV2" s="235"/>
      <c r="LSW2" s="235"/>
      <c r="LSX2" s="235"/>
      <c r="LSY2" s="235"/>
      <c r="LSZ2" s="235"/>
      <c r="LTA2" s="235"/>
      <c r="LTB2" s="235"/>
      <c r="LTC2" s="235"/>
      <c r="LTD2" s="235"/>
      <c r="LTE2" s="235"/>
      <c r="LTF2" s="235"/>
      <c r="LTG2" s="235"/>
      <c r="LTH2" s="235"/>
      <c r="LTI2" s="235"/>
      <c r="LTJ2" s="235"/>
      <c r="LTK2" s="235"/>
      <c r="LTL2" s="235"/>
      <c r="LTM2" s="235"/>
      <c r="LTN2" s="235"/>
      <c r="LTO2" s="235"/>
      <c r="LTP2" s="235"/>
      <c r="LTQ2" s="235"/>
      <c r="LTR2" s="235"/>
      <c r="LTS2" s="235"/>
      <c r="LTT2" s="235"/>
      <c r="LTU2" s="235"/>
      <c r="LTV2" s="235"/>
      <c r="LTW2" s="235"/>
      <c r="LTX2" s="235"/>
      <c r="LTY2" s="235"/>
      <c r="LTZ2" s="235"/>
      <c r="LUA2" s="235"/>
      <c r="LUB2" s="235"/>
      <c r="LUC2" s="235"/>
      <c r="LUD2" s="235"/>
      <c r="LUE2" s="235"/>
      <c r="LUF2" s="235"/>
      <c r="LUG2" s="235"/>
      <c r="LUH2" s="235"/>
      <c r="LUI2" s="235"/>
      <c r="LUJ2" s="235"/>
      <c r="LUK2" s="235"/>
      <c r="LUL2" s="235"/>
      <c r="LUM2" s="235"/>
      <c r="LUN2" s="235"/>
      <c r="LUO2" s="235"/>
      <c r="LUP2" s="235"/>
      <c r="LUQ2" s="235"/>
      <c r="LUR2" s="235"/>
      <c r="LUS2" s="235"/>
      <c r="LUT2" s="235"/>
      <c r="LUU2" s="235"/>
      <c r="LUV2" s="235"/>
      <c r="LUW2" s="235"/>
      <c r="LUX2" s="235"/>
      <c r="LUY2" s="235"/>
      <c r="LUZ2" s="235"/>
      <c r="LVA2" s="235"/>
      <c r="LVB2" s="235"/>
      <c r="LVC2" s="235"/>
      <c r="LVD2" s="235"/>
      <c r="LVE2" s="235"/>
      <c r="LVF2" s="235"/>
      <c r="LVG2" s="235"/>
      <c r="LVH2" s="235"/>
      <c r="LVI2" s="235"/>
      <c r="LVJ2" s="235"/>
      <c r="LVK2" s="235"/>
      <c r="LVL2" s="235"/>
      <c r="LVM2" s="235"/>
      <c r="LVN2" s="235"/>
      <c r="LVO2" s="235"/>
      <c r="LVP2" s="235"/>
      <c r="LVQ2" s="235"/>
      <c r="LVR2" s="235"/>
      <c r="LVS2" s="235"/>
      <c r="LVT2" s="235"/>
      <c r="LVU2" s="235"/>
      <c r="LVV2" s="235"/>
      <c r="LVW2" s="235"/>
      <c r="LVX2" s="235"/>
      <c r="LVY2" s="235"/>
      <c r="LVZ2" s="235"/>
      <c r="LWA2" s="235"/>
      <c r="LWB2" s="235"/>
      <c r="LWC2" s="235"/>
      <c r="LWD2" s="235"/>
      <c r="LWE2" s="235"/>
      <c r="LWF2" s="235"/>
      <c r="LWG2" s="235"/>
      <c r="LWH2" s="235"/>
      <c r="LWI2" s="235"/>
      <c r="LWJ2" s="235"/>
      <c r="LWK2" s="235"/>
      <c r="LWL2" s="235"/>
      <c r="LWM2" s="235"/>
      <c r="LWN2" s="235"/>
      <c r="LWO2" s="235"/>
      <c r="LWP2" s="235"/>
      <c r="LWQ2" s="235"/>
      <c r="LWR2" s="235"/>
      <c r="LWS2" s="235"/>
      <c r="LWT2" s="235"/>
      <c r="LWU2" s="235"/>
      <c r="LWV2" s="235"/>
      <c r="LWW2" s="235"/>
      <c r="LWX2" s="235"/>
      <c r="LWY2" s="235"/>
      <c r="LWZ2" s="235"/>
      <c r="LXA2" s="235"/>
      <c r="LXB2" s="235"/>
      <c r="LXC2" s="235"/>
      <c r="LXD2" s="235"/>
      <c r="LXE2" s="235"/>
      <c r="LXF2" s="235"/>
      <c r="LXG2" s="235"/>
      <c r="LXH2" s="235"/>
      <c r="LXI2" s="235"/>
      <c r="LXJ2" s="235"/>
      <c r="LXK2" s="235"/>
      <c r="LXL2" s="235"/>
      <c r="LXM2" s="235"/>
      <c r="LXN2" s="235"/>
      <c r="LXO2" s="235"/>
      <c r="LXP2" s="235"/>
      <c r="LXQ2" s="235"/>
      <c r="LXR2" s="235"/>
      <c r="LXS2" s="235"/>
      <c r="LXT2" s="235"/>
      <c r="LXU2" s="235"/>
      <c r="LXV2" s="235"/>
      <c r="LXW2" s="235"/>
      <c r="LXX2" s="235"/>
      <c r="LXY2" s="235"/>
      <c r="LXZ2" s="235"/>
      <c r="LYA2" s="235"/>
      <c r="LYB2" s="235"/>
      <c r="LYC2" s="235"/>
      <c r="LYD2" s="235"/>
      <c r="LYE2" s="235"/>
      <c r="LYF2" s="235"/>
      <c r="LYG2" s="235"/>
      <c r="LYH2" s="235"/>
      <c r="LYI2" s="235"/>
      <c r="LYJ2" s="235"/>
      <c r="LYK2" s="235"/>
      <c r="LYL2" s="235"/>
      <c r="LYM2" s="235"/>
      <c r="LYN2" s="235"/>
      <c r="LYO2" s="235"/>
      <c r="LYP2" s="235"/>
      <c r="LYQ2" s="235"/>
      <c r="LYR2" s="235"/>
      <c r="LYS2" s="235"/>
      <c r="LYT2" s="235"/>
      <c r="LYU2" s="235"/>
      <c r="LYV2" s="235"/>
      <c r="LYW2" s="235"/>
      <c r="LYX2" s="235"/>
      <c r="LYY2" s="235"/>
      <c r="LYZ2" s="235"/>
      <c r="LZA2" s="235"/>
      <c r="LZB2" s="235"/>
      <c r="LZC2" s="235"/>
      <c r="LZD2" s="235"/>
      <c r="LZE2" s="235"/>
      <c r="LZF2" s="235"/>
      <c r="LZG2" s="235"/>
      <c r="LZH2" s="235"/>
      <c r="LZI2" s="235"/>
      <c r="LZJ2" s="235"/>
      <c r="LZK2" s="235"/>
      <c r="LZL2" s="235"/>
      <c r="LZM2" s="235"/>
      <c r="LZN2" s="235"/>
      <c r="LZO2" s="235"/>
      <c r="LZP2" s="235"/>
      <c r="LZQ2" s="235"/>
      <c r="LZR2" s="235"/>
      <c r="LZS2" s="235"/>
      <c r="LZT2" s="235"/>
      <c r="LZU2" s="235"/>
      <c r="LZV2" s="235"/>
      <c r="LZW2" s="235"/>
      <c r="LZX2" s="235"/>
      <c r="LZY2" s="235"/>
      <c r="LZZ2" s="235"/>
      <c r="MAA2" s="235"/>
      <c r="MAB2" s="235"/>
      <c r="MAC2" s="235"/>
      <c r="MAD2" s="235"/>
      <c r="MAE2" s="235"/>
      <c r="MAF2" s="235"/>
      <c r="MAG2" s="235"/>
      <c r="MAH2" s="235"/>
      <c r="MAI2" s="235"/>
      <c r="MAJ2" s="235"/>
      <c r="MAK2" s="235"/>
      <c r="MAL2" s="235"/>
      <c r="MAM2" s="235"/>
      <c r="MAN2" s="235"/>
      <c r="MAO2" s="235"/>
      <c r="MAP2" s="235"/>
      <c r="MAQ2" s="235"/>
      <c r="MAR2" s="235"/>
      <c r="MAS2" s="235"/>
      <c r="MAT2" s="235"/>
      <c r="MAU2" s="235"/>
      <c r="MAV2" s="235"/>
      <c r="MAW2" s="235"/>
      <c r="MAX2" s="235"/>
      <c r="MAY2" s="235"/>
      <c r="MAZ2" s="235"/>
      <c r="MBA2" s="235"/>
      <c r="MBB2" s="235"/>
      <c r="MBC2" s="235"/>
      <c r="MBD2" s="235"/>
      <c r="MBE2" s="235"/>
      <c r="MBF2" s="235"/>
      <c r="MBG2" s="235"/>
      <c r="MBH2" s="235"/>
      <c r="MBI2" s="235"/>
      <c r="MBJ2" s="235"/>
      <c r="MBK2" s="235"/>
      <c r="MBL2" s="235"/>
      <c r="MBM2" s="235"/>
      <c r="MBN2" s="235"/>
      <c r="MBO2" s="235"/>
      <c r="MBP2" s="235"/>
      <c r="MBQ2" s="235"/>
      <c r="MBR2" s="235"/>
      <c r="MBS2" s="235"/>
      <c r="MBT2" s="235"/>
      <c r="MBU2" s="235"/>
      <c r="MBV2" s="235"/>
      <c r="MBW2" s="235"/>
      <c r="MBX2" s="235"/>
      <c r="MBY2" s="235"/>
      <c r="MBZ2" s="235"/>
      <c r="MCA2" s="235"/>
      <c r="MCB2" s="235"/>
      <c r="MCC2" s="235"/>
      <c r="MCD2" s="235"/>
      <c r="MCE2" s="235"/>
      <c r="MCF2" s="235"/>
      <c r="MCG2" s="235"/>
      <c r="MCH2" s="235"/>
      <c r="MCI2" s="235"/>
      <c r="MCJ2" s="235"/>
      <c r="MCK2" s="235"/>
      <c r="MCL2" s="235"/>
      <c r="MCM2" s="235"/>
      <c r="MCN2" s="235"/>
      <c r="MCO2" s="235"/>
      <c r="MCP2" s="235"/>
      <c r="MCQ2" s="235"/>
      <c r="MCR2" s="235"/>
      <c r="MCS2" s="235"/>
      <c r="MCT2" s="235"/>
      <c r="MCU2" s="235"/>
      <c r="MCV2" s="235"/>
      <c r="MCW2" s="235"/>
      <c r="MCX2" s="235"/>
      <c r="MCY2" s="235"/>
      <c r="MCZ2" s="235"/>
      <c r="MDA2" s="235"/>
      <c r="MDB2" s="235"/>
      <c r="MDC2" s="235"/>
      <c r="MDD2" s="235"/>
      <c r="MDE2" s="235"/>
      <c r="MDF2" s="235"/>
      <c r="MDG2" s="235"/>
      <c r="MDH2" s="235"/>
      <c r="MDI2" s="235"/>
      <c r="MDJ2" s="235"/>
      <c r="MDK2" s="235"/>
      <c r="MDL2" s="235"/>
      <c r="MDM2" s="235"/>
      <c r="MDN2" s="235"/>
      <c r="MDO2" s="235"/>
      <c r="MDP2" s="235"/>
      <c r="MDQ2" s="235"/>
      <c r="MDR2" s="235"/>
      <c r="MDS2" s="235"/>
      <c r="MDT2" s="235"/>
      <c r="MDU2" s="235"/>
      <c r="MDV2" s="235"/>
      <c r="MDW2" s="235"/>
      <c r="MDX2" s="235"/>
      <c r="MDY2" s="235"/>
      <c r="MDZ2" s="235"/>
      <c r="MEA2" s="235"/>
      <c r="MEB2" s="235"/>
      <c r="MEC2" s="235"/>
      <c r="MED2" s="235"/>
      <c r="MEE2" s="235"/>
      <c r="MEF2" s="235"/>
      <c r="MEG2" s="235"/>
      <c r="MEH2" s="235"/>
      <c r="MEI2" s="235"/>
      <c r="MEJ2" s="235"/>
      <c r="MEK2" s="235"/>
      <c r="MEL2" s="235"/>
      <c r="MEM2" s="235"/>
      <c r="MEN2" s="235"/>
      <c r="MEO2" s="235"/>
      <c r="MEP2" s="235"/>
      <c r="MEQ2" s="235"/>
      <c r="MER2" s="235"/>
      <c r="MES2" s="235"/>
      <c r="MET2" s="235"/>
      <c r="MEU2" s="235"/>
      <c r="MEV2" s="235"/>
      <c r="MEW2" s="235"/>
      <c r="MEX2" s="235"/>
      <c r="MEY2" s="235"/>
      <c r="MEZ2" s="235"/>
      <c r="MFA2" s="235"/>
      <c r="MFB2" s="235"/>
      <c r="MFC2" s="235"/>
      <c r="MFD2" s="235"/>
      <c r="MFE2" s="235"/>
      <c r="MFF2" s="235"/>
      <c r="MFG2" s="235"/>
      <c r="MFH2" s="235"/>
      <c r="MFI2" s="235"/>
      <c r="MFJ2" s="235"/>
      <c r="MFK2" s="235"/>
      <c r="MFL2" s="235"/>
      <c r="MFM2" s="235"/>
      <c r="MFN2" s="235"/>
      <c r="MFO2" s="235"/>
      <c r="MFP2" s="235"/>
      <c r="MFQ2" s="235"/>
      <c r="MFR2" s="235"/>
      <c r="MFS2" s="235"/>
      <c r="MFT2" s="235"/>
      <c r="MFU2" s="235"/>
      <c r="MFV2" s="235"/>
      <c r="MFW2" s="235"/>
      <c r="MFX2" s="235"/>
      <c r="MFY2" s="235"/>
      <c r="MFZ2" s="235"/>
      <c r="MGA2" s="235"/>
      <c r="MGB2" s="235"/>
      <c r="MGC2" s="235"/>
      <c r="MGD2" s="235"/>
      <c r="MGE2" s="235"/>
      <c r="MGF2" s="235"/>
      <c r="MGG2" s="235"/>
      <c r="MGH2" s="235"/>
      <c r="MGI2" s="235"/>
      <c r="MGJ2" s="235"/>
      <c r="MGK2" s="235"/>
      <c r="MGL2" s="235"/>
      <c r="MGM2" s="235"/>
      <c r="MGN2" s="235"/>
      <c r="MGO2" s="235"/>
      <c r="MGP2" s="235"/>
      <c r="MGQ2" s="235"/>
      <c r="MGR2" s="235"/>
      <c r="MGS2" s="235"/>
      <c r="MGT2" s="235"/>
      <c r="MGU2" s="235"/>
      <c r="MGV2" s="235"/>
      <c r="MGW2" s="235"/>
      <c r="MGX2" s="235"/>
      <c r="MGY2" s="235"/>
      <c r="MGZ2" s="235"/>
      <c r="MHA2" s="235"/>
      <c r="MHB2" s="235"/>
      <c r="MHC2" s="235"/>
      <c r="MHD2" s="235"/>
      <c r="MHE2" s="235"/>
      <c r="MHF2" s="235"/>
      <c r="MHG2" s="235"/>
      <c r="MHH2" s="235"/>
      <c r="MHI2" s="235"/>
      <c r="MHJ2" s="235"/>
      <c r="MHK2" s="235"/>
      <c r="MHL2" s="235"/>
      <c r="MHM2" s="235"/>
      <c r="MHN2" s="235"/>
      <c r="MHO2" s="235"/>
      <c r="MHP2" s="235"/>
      <c r="MHQ2" s="235"/>
      <c r="MHR2" s="235"/>
      <c r="MHS2" s="235"/>
      <c r="MHT2" s="235"/>
      <c r="MHU2" s="235"/>
      <c r="MHV2" s="235"/>
      <c r="MHW2" s="235"/>
      <c r="MHX2" s="235"/>
      <c r="MHY2" s="235"/>
      <c r="MHZ2" s="235"/>
      <c r="MIA2" s="235"/>
      <c r="MIB2" s="235"/>
      <c r="MIC2" s="235"/>
      <c r="MID2" s="235"/>
      <c r="MIE2" s="235"/>
      <c r="MIF2" s="235"/>
      <c r="MIG2" s="235"/>
      <c r="MIH2" s="235"/>
      <c r="MII2" s="235"/>
      <c r="MIJ2" s="235"/>
      <c r="MIK2" s="235"/>
      <c r="MIL2" s="235"/>
      <c r="MIM2" s="235"/>
      <c r="MIN2" s="235"/>
      <c r="MIO2" s="235"/>
      <c r="MIP2" s="235"/>
      <c r="MIQ2" s="235"/>
      <c r="MIR2" s="235"/>
      <c r="MIS2" s="235"/>
      <c r="MIT2" s="235"/>
      <c r="MIU2" s="235"/>
      <c r="MIV2" s="235"/>
      <c r="MIW2" s="235"/>
      <c r="MIX2" s="235"/>
      <c r="MIY2" s="235"/>
      <c r="MIZ2" s="235"/>
      <c r="MJA2" s="235"/>
      <c r="MJB2" s="235"/>
      <c r="MJC2" s="235"/>
      <c r="MJD2" s="235"/>
      <c r="MJE2" s="235"/>
      <c r="MJF2" s="235"/>
      <c r="MJG2" s="235"/>
      <c r="MJH2" s="235"/>
      <c r="MJI2" s="235"/>
      <c r="MJJ2" s="235"/>
      <c r="MJK2" s="235"/>
      <c r="MJL2" s="235"/>
      <c r="MJM2" s="235"/>
      <c r="MJN2" s="235"/>
      <c r="MJO2" s="235"/>
      <c r="MJP2" s="235"/>
      <c r="MJQ2" s="235"/>
      <c r="MJR2" s="235"/>
      <c r="MJS2" s="235"/>
      <c r="MJT2" s="235"/>
      <c r="MJU2" s="235"/>
      <c r="MJV2" s="235"/>
      <c r="MJW2" s="235"/>
      <c r="MJX2" s="235"/>
      <c r="MJY2" s="235"/>
      <c r="MJZ2" s="235"/>
      <c r="MKA2" s="235"/>
      <c r="MKB2" s="235"/>
      <c r="MKC2" s="235"/>
      <c r="MKD2" s="235"/>
      <c r="MKE2" s="235"/>
      <c r="MKF2" s="235"/>
      <c r="MKG2" s="235"/>
      <c r="MKH2" s="235"/>
      <c r="MKI2" s="235"/>
      <c r="MKJ2" s="235"/>
      <c r="MKK2" s="235"/>
      <c r="MKL2" s="235"/>
      <c r="MKM2" s="235"/>
      <c r="MKN2" s="235"/>
      <c r="MKO2" s="235"/>
      <c r="MKP2" s="235"/>
      <c r="MKQ2" s="235"/>
      <c r="MKR2" s="235"/>
      <c r="MKS2" s="235"/>
      <c r="MKT2" s="235"/>
      <c r="MKU2" s="235"/>
      <c r="MKV2" s="235"/>
      <c r="MKW2" s="235"/>
      <c r="MKX2" s="235"/>
      <c r="MKY2" s="235"/>
      <c r="MKZ2" s="235"/>
      <c r="MLA2" s="235"/>
      <c r="MLB2" s="235"/>
      <c r="MLC2" s="235"/>
      <c r="MLD2" s="235"/>
      <c r="MLE2" s="235"/>
      <c r="MLF2" s="235"/>
      <c r="MLG2" s="235"/>
      <c r="MLH2" s="235"/>
      <c r="MLI2" s="235"/>
      <c r="MLJ2" s="235"/>
      <c r="MLK2" s="235"/>
      <c r="MLL2" s="235"/>
      <c r="MLM2" s="235"/>
      <c r="MLN2" s="235"/>
      <c r="MLO2" s="235"/>
      <c r="MLP2" s="235"/>
      <c r="MLQ2" s="235"/>
      <c r="MLR2" s="235"/>
      <c r="MLS2" s="235"/>
      <c r="MLT2" s="235"/>
      <c r="MLU2" s="235"/>
      <c r="MLV2" s="235"/>
      <c r="MLW2" s="235"/>
      <c r="MLX2" s="235"/>
      <c r="MLY2" s="235"/>
      <c r="MLZ2" s="235"/>
      <c r="MMA2" s="235"/>
      <c r="MMB2" s="235"/>
      <c r="MMC2" s="235"/>
      <c r="MMD2" s="235"/>
      <c r="MME2" s="235"/>
      <c r="MMF2" s="235"/>
      <c r="MMG2" s="235"/>
      <c r="MMH2" s="235"/>
      <c r="MMI2" s="235"/>
      <c r="MMJ2" s="235"/>
      <c r="MMK2" s="235"/>
      <c r="MML2" s="235"/>
      <c r="MMM2" s="235"/>
      <c r="MMN2" s="235"/>
      <c r="MMO2" s="235"/>
      <c r="MMP2" s="235"/>
      <c r="MMQ2" s="235"/>
      <c r="MMR2" s="235"/>
      <c r="MMS2" s="235"/>
      <c r="MMT2" s="235"/>
      <c r="MMU2" s="235"/>
      <c r="MMV2" s="235"/>
      <c r="MMW2" s="235"/>
      <c r="MMX2" s="235"/>
      <c r="MMY2" s="235"/>
      <c r="MMZ2" s="235"/>
      <c r="MNA2" s="235"/>
      <c r="MNB2" s="235"/>
      <c r="MNC2" s="235"/>
      <c r="MND2" s="235"/>
      <c r="MNE2" s="235"/>
      <c r="MNF2" s="235"/>
      <c r="MNG2" s="235"/>
      <c r="MNH2" s="235"/>
      <c r="MNI2" s="235"/>
      <c r="MNJ2" s="235"/>
      <c r="MNK2" s="235"/>
      <c r="MNL2" s="235"/>
      <c r="MNM2" s="235"/>
      <c r="MNN2" s="235"/>
      <c r="MNO2" s="235"/>
      <c r="MNP2" s="235"/>
      <c r="MNQ2" s="235"/>
      <c r="MNR2" s="235"/>
      <c r="MNS2" s="235"/>
      <c r="MNT2" s="235"/>
      <c r="MNU2" s="235"/>
      <c r="MNV2" s="235"/>
      <c r="MNW2" s="235"/>
      <c r="MNX2" s="235"/>
      <c r="MNY2" s="235"/>
      <c r="MNZ2" s="235"/>
      <c r="MOA2" s="235"/>
      <c r="MOB2" s="235"/>
      <c r="MOC2" s="235"/>
      <c r="MOD2" s="235"/>
      <c r="MOE2" s="235"/>
      <c r="MOF2" s="235"/>
      <c r="MOG2" s="235"/>
      <c r="MOH2" s="235"/>
      <c r="MOI2" s="235"/>
      <c r="MOJ2" s="235"/>
      <c r="MOK2" s="235"/>
      <c r="MOL2" s="235"/>
      <c r="MOM2" s="235"/>
      <c r="MON2" s="235"/>
      <c r="MOO2" s="235"/>
      <c r="MOP2" s="235"/>
      <c r="MOQ2" s="235"/>
      <c r="MOR2" s="235"/>
      <c r="MOS2" s="235"/>
      <c r="MOT2" s="235"/>
      <c r="MOU2" s="235"/>
      <c r="MOV2" s="235"/>
      <c r="MOW2" s="235"/>
      <c r="MOX2" s="235"/>
      <c r="MOY2" s="235"/>
      <c r="MOZ2" s="235"/>
      <c r="MPA2" s="235"/>
      <c r="MPB2" s="235"/>
      <c r="MPC2" s="235"/>
      <c r="MPD2" s="235"/>
      <c r="MPE2" s="235"/>
      <c r="MPF2" s="235"/>
      <c r="MPG2" s="235"/>
      <c r="MPH2" s="235"/>
      <c r="MPI2" s="235"/>
      <c r="MPJ2" s="235"/>
      <c r="MPK2" s="235"/>
      <c r="MPL2" s="235"/>
      <c r="MPM2" s="235"/>
      <c r="MPN2" s="235"/>
      <c r="MPO2" s="235"/>
      <c r="MPP2" s="235"/>
      <c r="MPQ2" s="235"/>
      <c r="MPR2" s="235"/>
      <c r="MPS2" s="235"/>
      <c r="MPT2" s="235"/>
      <c r="MPU2" s="235"/>
      <c r="MPV2" s="235"/>
      <c r="MPW2" s="235"/>
      <c r="MPX2" s="235"/>
      <c r="MPY2" s="235"/>
      <c r="MPZ2" s="235"/>
      <c r="MQA2" s="235"/>
      <c r="MQB2" s="235"/>
      <c r="MQC2" s="235"/>
      <c r="MQD2" s="235"/>
      <c r="MQE2" s="235"/>
      <c r="MQF2" s="235"/>
      <c r="MQG2" s="235"/>
      <c r="MQH2" s="235"/>
      <c r="MQI2" s="235"/>
      <c r="MQJ2" s="235"/>
      <c r="MQK2" s="235"/>
      <c r="MQL2" s="235"/>
      <c r="MQM2" s="235"/>
      <c r="MQN2" s="235"/>
      <c r="MQO2" s="235"/>
      <c r="MQP2" s="235"/>
      <c r="MQQ2" s="235"/>
      <c r="MQR2" s="235"/>
      <c r="MQS2" s="235"/>
      <c r="MQT2" s="235"/>
      <c r="MQU2" s="235"/>
      <c r="MQV2" s="235"/>
      <c r="MQW2" s="235"/>
      <c r="MQX2" s="235"/>
      <c r="MQY2" s="235"/>
      <c r="MQZ2" s="235"/>
      <c r="MRA2" s="235"/>
      <c r="MRB2" s="235"/>
      <c r="MRC2" s="235"/>
      <c r="MRD2" s="235"/>
      <c r="MRE2" s="235"/>
      <c r="MRF2" s="235"/>
      <c r="MRG2" s="235"/>
      <c r="MRH2" s="235"/>
      <c r="MRI2" s="235"/>
      <c r="MRJ2" s="235"/>
      <c r="MRK2" s="235"/>
      <c r="MRL2" s="235"/>
      <c r="MRM2" s="235"/>
      <c r="MRN2" s="235"/>
      <c r="MRO2" s="235"/>
      <c r="MRP2" s="235"/>
      <c r="MRQ2" s="235"/>
      <c r="MRR2" s="235"/>
      <c r="MRS2" s="235"/>
      <c r="MRT2" s="235"/>
      <c r="MRU2" s="235"/>
      <c r="MRV2" s="235"/>
      <c r="MRW2" s="235"/>
      <c r="MRX2" s="235"/>
      <c r="MRY2" s="235"/>
      <c r="MRZ2" s="235"/>
      <c r="MSA2" s="235"/>
      <c r="MSB2" s="235"/>
      <c r="MSC2" s="235"/>
      <c r="MSD2" s="235"/>
      <c r="MSE2" s="235"/>
      <c r="MSF2" s="235"/>
      <c r="MSG2" s="235"/>
      <c r="MSH2" s="235"/>
      <c r="MSI2" s="235"/>
      <c r="MSJ2" s="235"/>
      <c r="MSK2" s="235"/>
      <c r="MSL2" s="235"/>
      <c r="MSM2" s="235"/>
      <c r="MSN2" s="235"/>
      <c r="MSO2" s="235"/>
      <c r="MSP2" s="235"/>
      <c r="MSQ2" s="235"/>
      <c r="MSR2" s="235"/>
      <c r="MSS2" s="235"/>
      <c r="MST2" s="235"/>
      <c r="MSU2" s="235"/>
      <c r="MSV2" s="235"/>
      <c r="MSW2" s="235"/>
      <c r="MSX2" s="235"/>
      <c r="MSY2" s="235"/>
      <c r="MSZ2" s="235"/>
      <c r="MTA2" s="235"/>
      <c r="MTB2" s="235"/>
      <c r="MTC2" s="235"/>
      <c r="MTD2" s="235"/>
      <c r="MTE2" s="235"/>
      <c r="MTF2" s="235"/>
      <c r="MTG2" s="235"/>
      <c r="MTH2" s="235"/>
      <c r="MTI2" s="235"/>
      <c r="MTJ2" s="235"/>
      <c r="MTK2" s="235"/>
      <c r="MTL2" s="235"/>
      <c r="MTM2" s="235"/>
      <c r="MTN2" s="235"/>
      <c r="MTO2" s="235"/>
      <c r="MTP2" s="235"/>
      <c r="MTQ2" s="235"/>
      <c r="MTR2" s="235"/>
      <c r="MTS2" s="235"/>
      <c r="MTT2" s="235"/>
      <c r="MTU2" s="235"/>
      <c r="MTV2" s="235"/>
      <c r="MTW2" s="235"/>
      <c r="MTX2" s="235"/>
      <c r="MTY2" s="235"/>
      <c r="MTZ2" s="235"/>
      <c r="MUA2" s="235"/>
      <c r="MUB2" s="235"/>
      <c r="MUC2" s="235"/>
      <c r="MUD2" s="235"/>
      <c r="MUE2" s="235"/>
      <c r="MUF2" s="235"/>
      <c r="MUG2" s="235"/>
      <c r="MUH2" s="235"/>
      <c r="MUI2" s="235"/>
      <c r="MUJ2" s="235"/>
      <c r="MUK2" s="235"/>
      <c r="MUL2" s="235"/>
      <c r="MUM2" s="235"/>
      <c r="MUN2" s="235"/>
      <c r="MUO2" s="235"/>
      <c r="MUP2" s="235"/>
      <c r="MUQ2" s="235"/>
      <c r="MUR2" s="235"/>
      <c r="MUS2" s="235"/>
      <c r="MUT2" s="235"/>
      <c r="MUU2" s="235"/>
      <c r="MUV2" s="235"/>
      <c r="MUW2" s="235"/>
      <c r="MUX2" s="235"/>
      <c r="MUY2" s="235"/>
      <c r="MUZ2" s="235"/>
      <c r="MVA2" s="235"/>
      <c r="MVB2" s="235"/>
      <c r="MVC2" s="235"/>
      <c r="MVD2" s="235"/>
      <c r="MVE2" s="235"/>
      <c r="MVF2" s="235"/>
      <c r="MVG2" s="235"/>
      <c r="MVH2" s="235"/>
      <c r="MVI2" s="235"/>
      <c r="MVJ2" s="235"/>
      <c r="MVK2" s="235"/>
      <c r="MVL2" s="235"/>
      <c r="MVM2" s="235"/>
      <c r="MVN2" s="235"/>
      <c r="MVO2" s="235"/>
      <c r="MVP2" s="235"/>
      <c r="MVQ2" s="235"/>
      <c r="MVR2" s="235"/>
      <c r="MVS2" s="235"/>
      <c r="MVT2" s="235"/>
      <c r="MVU2" s="235"/>
      <c r="MVV2" s="235"/>
      <c r="MVW2" s="235"/>
      <c r="MVX2" s="235"/>
      <c r="MVY2" s="235"/>
      <c r="MVZ2" s="235"/>
      <c r="MWA2" s="235"/>
      <c r="MWB2" s="235"/>
      <c r="MWC2" s="235"/>
      <c r="MWD2" s="235"/>
      <c r="MWE2" s="235"/>
      <c r="MWF2" s="235"/>
      <c r="MWG2" s="235"/>
      <c r="MWH2" s="235"/>
      <c r="MWI2" s="235"/>
      <c r="MWJ2" s="235"/>
      <c r="MWK2" s="235"/>
      <c r="MWL2" s="235"/>
      <c r="MWM2" s="235"/>
      <c r="MWN2" s="235"/>
      <c r="MWO2" s="235"/>
      <c r="MWP2" s="235"/>
      <c r="MWQ2" s="235"/>
      <c r="MWR2" s="235"/>
      <c r="MWS2" s="235"/>
      <c r="MWT2" s="235"/>
      <c r="MWU2" s="235"/>
      <c r="MWV2" s="235"/>
      <c r="MWW2" s="235"/>
      <c r="MWX2" s="235"/>
      <c r="MWY2" s="235"/>
      <c r="MWZ2" s="235"/>
      <c r="MXA2" s="235"/>
      <c r="MXB2" s="235"/>
      <c r="MXC2" s="235"/>
      <c r="MXD2" s="235"/>
      <c r="MXE2" s="235"/>
      <c r="MXF2" s="235"/>
      <c r="MXG2" s="235"/>
      <c r="MXH2" s="235"/>
      <c r="MXI2" s="235"/>
      <c r="MXJ2" s="235"/>
      <c r="MXK2" s="235"/>
      <c r="MXL2" s="235"/>
      <c r="MXM2" s="235"/>
      <c r="MXN2" s="235"/>
      <c r="MXO2" s="235"/>
      <c r="MXP2" s="235"/>
      <c r="MXQ2" s="235"/>
      <c r="MXR2" s="235"/>
      <c r="MXS2" s="235"/>
      <c r="MXT2" s="235"/>
      <c r="MXU2" s="235"/>
      <c r="MXV2" s="235"/>
      <c r="MXW2" s="235"/>
      <c r="MXX2" s="235"/>
      <c r="MXY2" s="235"/>
      <c r="MXZ2" s="235"/>
      <c r="MYA2" s="235"/>
      <c r="MYB2" s="235"/>
      <c r="MYC2" s="235"/>
      <c r="MYD2" s="235"/>
      <c r="MYE2" s="235"/>
      <c r="MYF2" s="235"/>
      <c r="MYG2" s="235"/>
      <c r="MYH2" s="235"/>
      <c r="MYI2" s="235"/>
      <c r="MYJ2" s="235"/>
      <c r="MYK2" s="235"/>
      <c r="MYL2" s="235"/>
      <c r="MYM2" s="235"/>
      <c r="MYN2" s="235"/>
      <c r="MYO2" s="235"/>
      <c r="MYP2" s="235"/>
      <c r="MYQ2" s="235"/>
      <c r="MYR2" s="235"/>
      <c r="MYS2" s="235"/>
      <c r="MYT2" s="235"/>
      <c r="MYU2" s="235"/>
      <c r="MYV2" s="235"/>
      <c r="MYW2" s="235"/>
      <c r="MYX2" s="235"/>
      <c r="MYY2" s="235"/>
      <c r="MYZ2" s="235"/>
      <c r="MZA2" s="235"/>
      <c r="MZB2" s="235"/>
      <c r="MZC2" s="235"/>
      <c r="MZD2" s="235"/>
      <c r="MZE2" s="235"/>
      <c r="MZF2" s="235"/>
      <c r="MZG2" s="235"/>
      <c r="MZH2" s="235"/>
      <c r="MZI2" s="235"/>
      <c r="MZJ2" s="235"/>
      <c r="MZK2" s="235"/>
      <c r="MZL2" s="235"/>
      <c r="MZM2" s="235"/>
      <c r="MZN2" s="235"/>
      <c r="MZO2" s="235"/>
      <c r="MZP2" s="235"/>
      <c r="MZQ2" s="235"/>
      <c r="MZR2" s="235"/>
      <c r="MZS2" s="235"/>
      <c r="MZT2" s="235"/>
      <c r="MZU2" s="235"/>
      <c r="MZV2" s="235"/>
      <c r="MZW2" s="235"/>
      <c r="MZX2" s="235"/>
      <c r="MZY2" s="235"/>
      <c r="MZZ2" s="235"/>
      <c r="NAA2" s="235"/>
      <c r="NAB2" s="235"/>
      <c r="NAC2" s="235"/>
      <c r="NAD2" s="235"/>
      <c r="NAE2" s="235"/>
      <c r="NAF2" s="235"/>
      <c r="NAG2" s="235"/>
      <c r="NAH2" s="235"/>
      <c r="NAI2" s="235"/>
      <c r="NAJ2" s="235"/>
      <c r="NAK2" s="235"/>
      <c r="NAL2" s="235"/>
      <c r="NAM2" s="235"/>
      <c r="NAN2" s="235"/>
      <c r="NAO2" s="235"/>
      <c r="NAP2" s="235"/>
      <c r="NAQ2" s="235"/>
      <c r="NAR2" s="235"/>
      <c r="NAS2" s="235"/>
      <c r="NAT2" s="235"/>
      <c r="NAU2" s="235"/>
      <c r="NAV2" s="235"/>
      <c r="NAW2" s="235"/>
      <c r="NAX2" s="235"/>
      <c r="NAY2" s="235"/>
      <c r="NAZ2" s="235"/>
      <c r="NBA2" s="235"/>
      <c r="NBB2" s="235"/>
      <c r="NBC2" s="235"/>
      <c r="NBD2" s="235"/>
      <c r="NBE2" s="235"/>
      <c r="NBF2" s="235"/>
      <c r="NBG2" s="235"/>
      <c r="NBH2" s="235"/>
      <c r="NBI2" s="235"/>
      <c r="NBJ2" s="235"/>
      <c r="NBK2" s="235"/>
      <c r="NBL2" s="235"/>
      <c r="NBM2" s="235"/>
      <c r="NBN2" s="235"/>
      <c r="NBO2" s="235"/>
      <c r="NBP2" s="235"/>
      <c r="NBQ2" s="235"/>
      <c r="NBR2" s="235"/>
      <c r="NBS2" s="235"/>
      <c r="NBT2" s="235"/>
      <c r="NBU2" s="235"/>
      <c r="NBV2" s="235"/>
      <c r="NBW2" s="235"/>
      <c r="NBX2" s="235"/>
      <c r="NBY2" s="235"/>
      <c r="NBZ2" s="235"/>
      <c r="NCA2" s="235"/>
      <c r="NCB2" s="235"/>
      <c r="NCC2" s="235"/>
      <c r="NCD2" s="235"/>
      <c r="NCE2" s="235"/>
      <c r="NCF2" s="235"/>
      <c r="NCG2" s="235"/>
      <c r="NCH2" s="235"/>
      <c r="NCI2" s="235"/>
      <c r="NCJ2" s="235"/>
      <c r="NCK2" s="235"/>
      <c r="NCL2" s="235"/>
      <c r="NCM2" s="235"/>
      <c r="NCN2" s="235"/>
      <c r="NCO2" s="235"/>
      <c r="NCP2" s="235"/>
      <c r="NCQ2" s="235"/>
      <c r="NCR2" s="235"/>
      <c r="NCS2" s="235"/>
      <c r="NCT2" s="235"/>
      <c r="NCU2" s="235"/>
      <c r="NCV2" s="235"/>
      <c r="NCW2" s="235"/>
      <c r="NCX2" s="235"/>
      <c r="NCY2" s="235"/>
      <c r="NCZ2" s="235"/>
      <c r="NDA2" s="235"/>
      <c r="NDB2" s="235"/>
      <c r="NDC2" s="235"/>
      <c r="NDD2" s="235"/>
      <c r="NDE2" s="235"/>
      <c r="NDF2" s="235"/>
      <c r="NDG2" s="235"/>
      <c r="NDH2" s="235"/>
      <c r="NDI2" s="235"/>
      <c r="NDJ2" s="235"/>
      <c r="NDK2" s="235"/>
      <c r="NDL2" s="235"/>
      <c r="NDM2" s="235"/>
      <c r="NDN2" s="235"/>
      <c r="NDO2" s="235"/>
      <c r="NDP2" s="235"/>
      <c r="NDQ2" s="235"/>
      <c r="NDR2" s="235"/>
      <c r="NDS2" s="235"/>
      <c r="NDT2" s="235"/>
      <c r="NDU2" s="235"/>
      <c r="NDV2" s="235"/>
      <c r="NDW2" s="235"/>
      <c r="NDX2" s="235"/>
      <c r="NDY2" s="235"/>
      <c r="NDZ2" s="235"/>
      <c r="NEA2" s="235"/>
      <c r="NEB2" s="235"/>
      <c r="NEC2" s="235"/>
      <c r="NED2" s="235"/>
      <c r="NEE2" s="235"/>
      <c r="NEF2" s="235"/>
      <c r="NEG2" s="235"/>
      <c r="NEH2" s="235"/>
      <c r="NEI2" s="235"/>
      <c r="NEJ2" s="235"/>
      <c r="NEK2" s="235"/>
      <c r="NEL2" s="235"/>
      <c r="NEM2" s="235"/>
      <c r="NEN2" s="235"/>
      <c r="NEO2" s="235"/>
      <c r="NEP2" s="235"/>
      <c r="NEQ2" s="235"/>
      <c r="NER2" s="235"/>
      <c r="NES2" s="235"/>
      <c r="NET2" s="235"/>
      <c r="NEU2" s="235"/>
      <c r="NEV2" s="235"/>
      <c r="NEW2" s="235"/>
      <c r="NEX2" s="235"/>
      <c r="NEY2" s="235"/>
      <c r="NEZ2" s="235"/>
      <c r="NFA2" s="235"/>
      <c r="NFB2" s="235"/>
      <c r="NFC2" s="235"/>
      <c r="NFD2" s="235"/>
      <c r="NFE2" s="235"/>
      <c r="NFF2" s="235"/>
      <c r="NFG2" s="235"/>
      <c r="NFH2" s="235"/>
      <c r="NFI2" s="235"/>
      <c r="NFJ2" s="235"/>
      <c r="NFK2" s="235"/>
      <c r="NFL2" s="235"/>
      <c r="NFM2" s="235"/>
      <c r="NFN2" s="235"/>
      <c r="NFO2" s="235"/>
      <c r="NFP2" s="235"/>
      <c r="NFQ2" s="235"/>
      <c r="NFR2" s="235"/>
      <c r="NFS2" s="235"/>
      <c r="NFT2" s="235"/>
      <c r="NFU2" s="235"/>
      <c r="NFV2" s="235"/>
      <c r="NFW2" s="235"/>
      <c r="NFX2" s="235"/>
      <c r="NFY2" s="235"/>
      <c r="NFZ2" s="235"/>
      <c r="NGA2" s="235"/>
      <c r="NGB2" s="235"/>
      <c r="NGC2" s="235"/>
      <c r="NGD2" s="235"/>
      <c r="NGE2" s="235"/>
      <c r="NGF2" s="235"/>
      <c r="NGG2" s="235"/>
      <c r="NGH2" s="235"/>
      <c r="NGI2" s="235"/>
      <c r="NGJ2" s="235"/>
      <c r="NGK2" s="235"/>
      <c r="NGL2" s="235"/>
      <c r="NGM2" s="235"/>
      <c r="NGN2" s="235"/>
      <c r="NGO2" s="235"/>
      <c r="NGP2" s="235"/>
      <c r="NGQ2" s="235"/>
      <c r="NGR2" s="235"/>
      <c r="NGS2" s="235"/>
      <c r="NGT2" s="235"/>
      <c r="NGU2" s="235"/>
      <c r="NGV2" s="235"/>
      <c r="NGW2" s="235"/>
      <c r="NGX2" s="235"/>
      <c r="NGY2" s="235"/>
      <c r="NGZ2" s="235"/>
      <c r="NHA2" s="235"/>
      <c r="NHB2" s="235"/>
      <c r="NHC2" s="235"/>
      <c r="NHD2" s="235"/>
      <c r="NHE2" s="235"/>
      <c r="NHF2" s="235"/>
      <c r="NHG2" s="235"/>
      <c r="NHH2" s="235"/>
      <c r="NHI2" s="235"/>
      <c r="NHJ2" s="235"/>
      <c r="NHK2" s="235"/>
      <c r="NHL2" s="235"/>
      <c r="NHM2" s="235"/>
      <c r="NHN2" s="235"/>
      <c r="NHO2" s="235"/>
      <c r="NHP2" s="235"/>
      <c r="NHQ2" s="235"/>
      <c r="NHR2" s="235"/>
      <c r="NHS2" s="235"/>
      <c r="NHT2" s="235"/>
      <c r="NHU2" s="235"/>
      <c r="NHV2" s="235"/>
      <c r="NHW2" s="235"/>
      <c r="NHX2" s="235"/>
      <c r="NHY2" s="235"/>
      <c r="NHZ2" s="235"/>
      <c r="NIA2" s="235"/>
      <c r="NIB2" s="235"/>
      <c r="NIC2" s="235"/>
      <c r="NID2" s="235"/>
      <c r="NIE2" s="235"/>
      <c r="NIF2" s="235"/>
      <c r="NIG2" s="235"/>
      <c r="NIH2" s="235"/>
      <c r="NII2" s="235"/>
      <c r="NIJ2" s="235"/>
      <c r="NIK2" s="235"/>
      <c r="NIL2" s="235"/>
      <c r="NIM2" s="235"/>
      <c r="NIN2" s="235"/>
      <c r="NIO2" s="235"/>
      <c r="NIP2" s="235"/>
      <c r="NIQ2" s="235"/>
      <c r="NIR2" s="235"/>
      <c r="NIS2" s="235"/>
      <c r="NIT2" s="235"/>
      <c r="NIU2" s="235"/>
      <c r="NIV2" s="235"/>
      <c r="NIW2" s="235"/>
      <c r="NIX2" s="235"/>
      <c r="NIY2" s="235"/>
      <c r="NIZ2" s="235"/>
      <c r="NJA2" s="235"/>
      <c r="NJB2" s="235"/>
      <c r="NJC2" s="235"/>
      <c r="NJD2" s="235"/>
      <c r="NJE2" s="235"/>
      <c r="NJF2" s="235"/>
      <c r="NJG2" s="235"/>
      <c r="NJH2" s="235"/>
      <c r="NJI2" s="235"/>
      <c r="NJJ2" s="235"/>
      <c r="NJK2" s="235"/>
      <c r="NJL2" s="235"/>
      <c r="NJM2" s="235"/>
      <c r="NJN2" s="235"/>
      <c r="NJO2" s="235"/>
      <c r="NJP2" s="235"/>
      <c r="NJQ2" s="235"/>
      <c r="NJR2" s="235"/>
      <c r="NJS2" s="235"/>
      <c r="NJT2" s="235"/>
      <c r="NJU2" s="235"/>
      <c r="NJV2" s="235"/>
      <c r="NJW2" s="235"/>
      <c r="NJX2" s="235"/>
      <c r="NJY2" s="235"/>
      <c r="NJZ2" s="235"/>
      <c r="NKA2" s="235"/>
      <c r="NKB2" s="235"/>
      <c r="NKC2" s="235"/>
      <c r="NKD2" s="235"/>
      <c r="NKE2" s="235"/>
      <c r="NKF2" s="235"/>
      <c r="NKG2" s="235"/>
      <c r="NKH2" s="235"/>
      <c r="NKI2" s="235"/>
      <c r="NKJ2" s="235"/>
      <c r="NKK2" s="235"/>
      <c r="NKL2" s="235"/>
      <c r="NKM2" s="235"/>
      <c r="NKN2" s="235"/>
      <c r="NKO2" s="235"/>
      <c r="NKP2" s="235"/>
      <c r="NKQ2" s="235"/>
      <c r="NKR2" s="235"/>
      <c r="NKS2" s="235"/>
      <c r="NKT2" s="235"/>
      <c r="NKU2" s="235"/>
      <c r="NKV2" s="235"/>
      <c r="NKW2" s="235"/>
      <c r="NKX2" s="235"/>
      <c r="NKY2" s="235"/>
      <c r="NKZ2" s="235"/>
      <c r="NLA2" s="235"/>
      <c r="NLB2" s="235"/>
      <c r="NLC2" s="235"/>
      <c r="NLD2" s="235"/>
      <c r="NLE2" s="235"/>
      <c r="NLF2" s="235"/>
      <c r="NLG2" s="235"/>
      <c r="NLH2" s="235"/>
      <c r="NLI2" s="235"/>
      <c r="NLJ2" s="235"/>
      <c r="NLK2" s="235"/>
      <c r="NLL2" s="235"/>
      <c r="NLM2" s="235"/>
      <c r="NLN2" s="235"/>
      <c r="NLO2" s="235"/>
      <c r="NLP2" s="235"/>
      <c r="NLQ2" s="235"/>
      <c r="NLR2" s="235"/>
      <c r="NLS2" s="235"/>
      <c r="NLT2" s="235"/>
      <c r="NLU2" s="235"/>
      <c r="NLV2" s="235"/>
      <c r="NLW2" s="235"/>
      <c r="NLX2" s="235"/>
      <c r="NLY2" s="235"/>
      <c r="NLZ2" s="235"/>
      <c r="NMA2" s="235"/>
      <c r="NMB2" s="235"/>
      <c r="NMC2" s="235"/>
      <c r="NMD2" s="235"/>
      <c r="NME2" s="235"/>
      <c r="NMF2" s="235"/>
      <c r="NMG2" s="235"/>
      <c r="NMH2" s="235"/>
      <c r="NMI2" s="235"/>
      <c r="NMJ2" s="235"/>
      <c r="NMK2" s="235"/>
      <c r="NML2" s="235"/>
      <c r="NMM2" s="235"/>
      <c r="NMN2" s="235"/>
      <c r="NMO2" s="235"/>
      <c r="NMP2" s="235"/>
      <c r="NMQ2" s="235"/>
      <c r="NMR2" s="235"/>
      <c r="NMS2" s="235"/>
      <c r="NMT2" s="235"/>
      <c r="NMU2" s="235"/>
      <c r="NMV2" s="235"/>
      <c r="NMW2" s="235"/>
      <c r="NMX2" s="235"/>
      <c r="NMY2" s="235"/>
      <c r="NMZ2" s="235"/>
      <c r="NNA2" s="235"/>
      <c r="NNB2" s="235"/>
      <c r="NNC2" s="235"/>
      <c r="NND2" s="235"/>
      <c r="NNE2" s="235"/>
      <c r="NNF2" s="235"/>
      <c r="NNG2" s="235"/>
      <c r="NNH2" s="235"/>
      <c r="NNI2" s="235"/>
      <c r="NNJ2" s="235"/>
      <c r="NNK2" s="235"/>
      <c r="NNL2" s="235"/>
      <c r="NNM2" s="235"/>
      <c r="NNN2" s="235"/>
      <c r="NNO2" s="235"/>
      <c r="NNP2" s="235"/>
      <c r="NNQ2" s="235"/>
      <c r="NNR2" s="235"/>
      <c r="NNS2" s="235"/>
      <c r="NNT2" s="235"/>
      <c r="NNU2" s="235"/>
      <c r="NNV2" s="235"/>
      <c r="NNW2" s="235"/>
      <c r="NNX2" s="235"/>
      <c r="NNY2" s="235"/>
      <c r="NNZ2" s="235"/>
      <c r="NOA2" s="235"/>
      <c r="NOB2" s="235"/>
      <c r="NOC2" s="235"/>
      <c r="NOD2" s="235"/>
      <c r="NOE2" s="235"/>
      <c r="NOF2" s="235"/>
      <c r="NOG2" s="235"/>
      <c r="NOH2" s="235"/>
      <c r="NOI2" s="235"/>
      <c r="NOJ2" s="235"/>
      <c r="NOK2" s="235"/>
      <c r="NOL2" s="235"/>
      <c r="NOM2" s="235"/>
      <c r="NON2" s="235"/>
      <c r="NOO2" s="235"/>
      <c r="NOP2" s="235"/>
      <c r="NOQ2" s="235"/>
      <c r="NOR2" s="235"/>
      <c r="NOS2" s="235"/>
      <c r="NOT2" s="235"/>
      <c r="NOU2" s="235"/>
      <c r="NOV2" s="235"/>
      <c r="NOW2" s="235"/>
      <c r="NOX2" s="235"/>
      <c r="NOY2" s="235"/>
      <c r="NOZ2" s="235"/>
      <c r="NPA2" s="235"/>
      <c r="NPB2" s="235"/>
      <c r="NPC2" s="235"/>
      <c r="NPD2" s="235"/>
      <c r="NPE2" s="235"/>
      <c r="NPF2" s="235"/>
      <c r="NPG2" s="235"/>
      <c r="NPH2" s="235"/>
      <c r="NPI2" s="235"/>
      <c r="NPJ2" s="235"/>
      <c r="NPK2" s="235"/>
      <c r="NPL2" s="235"/>
      <c r="NPM2" s="235"/>
      <c r="NPN2" s="235"/>
      <c r="NPO2" s="235"/>
      <c r="NPP2" s="235"/>
      <c r="NPQ2" s="235"/>
      <c r="NPR2" s="235"/>
      <c r="NPS2" s="235"/>
      <c r="NPT2" s="235"/>
      <c r="NPU2" s="235"/>
      <c r="NPV2" s="235"/>
      <c r="NPW2" s="235"/>
      <c r="NPX2" s="235"/>
      <c r="NPY2" s="235"/>
      <c r="NPZ2" s="235"/>
      <c r="NQA2" s="235"/>
      <c r="NQB2" s="235"/>
      <c r="NQC2" s="235"/>
      <c r="NQD2" s="235"/>
      <c r="NQE2" s="235"/>
      <c r="NQF2" s="235"/>
      <c r="NQG2" s="235"/>
      <c r="NQH2" s="235"/>
      <c r="NQI2" s="235"/>
      <c r="NQJ2" s="235"/>
      <c r="NQK2" s="235"/>
      <c r="NQL2" s="235"/>
      <c r="NQM2" s="235"/>
      <c r="NQN2" s="235"/>
      <c r="NQO2" s="235"/>
      <c r="NQP2" s="235"/>
      <c r="NQQ2" s="235"/>
      <c r="NQR2" s="235"/>
      <c r="NQS2" s="235"/>
      <c r="NQT2" s="235"/>
      <c r="NQU2" s="235"/>
      <c r="NQV2" s="235"/>
      <c r="NQW2" s="235"/>
      <c r="NQX2" s="235"/>
      <c r="NQY2" s="235"/>
      <c r="NQZ2" s="235"/>
      <c r="NRA2" s="235"/>
      <c r="NRB2" s="235"/>
      <c r="NRC2" s="235"/>
      <c r="NRD2" s="235"/>
      <c r="NRE2" s="235"/>
      <c r="NRF2" s="235"/>
      <c r="NRG2" s="235"/>
      <c r="NRH2" s="235"/>
      <c r="NRI2" s="235"/>
      <c r="NRJ2" s="235"/>
      <c r="NRK2" s="235"/>
      <c r="NRL2" s="235"/>
      <c r="NRM2" s="235"/>
      <c r="NRN2" s="235"/>
      <c r="NRO2" s="235"/>
      <c r="NRP2" s="235"/>
      <c r="NRQ2" s="235"/>
      <c r="NRR2" s="235"/>
      <c r="NRS2" s="235"/>
      <c r="NRT2" s="235"/>
      <c r="NRU2" s="235"/>
      <c r="NRV2" s="235"/>
      <c r="NRW2" s="235"/>
      <c r="NRX2" s="235"/>
      <c r="NRY2" s="235"/>
      <c r="NRZ2" s="235"/>
      <c r="NSA2" s="235"/>
      <c r="NSB2" s="235"/>
      <c r="NSC2" s="235"/>
      <c r="NSD2" s="235"/>
      <c r="NSE2" s="235"/>
      <c r="NSF2" s="235"/>
      <c r="NSG2" s="235"/>
      <c r="NSH2" s="235"/>
      <c r="NSI2" s="235"/>
      <c r="NSJ2" s="235"/>
      <c r="NSK2" s="235"/>
      <c r="NSL2" s="235"/>
      <c r="NSM2" s="235"/>
      <c r="NSN2" s="235"/>
      <c r="NSO2" s="235"/>
      <c r="NSP2" s="235"/>
      <c r="NSQ2" s="235"/>
      <c r="NSR2" s="235"/>
      <c r="NSS2" s="235"/>
      <c r="NST2" s="235"/>
      <c r="NSU2" s="235"/>
      <c r="NSV2" s="235"/>
      <c r="NSW2" s="235"/>
      <c r="NSX2" s="235"/>
      <c r="NSY2" s="235"/>
      <c r="NSZ2" s="235"/>
      <c r="NTA2" s="235"/>
      <c r="NTB2" s="235"/>
      <c r="NTC2" s="235"/>
      <c r="NTD2" s="235"/>
      <c r="NTE2" s="235"/>
      <c r="NTF2" s="235"/>
      <c r="NTG2" s="235"/>
      <c r="NTH2" s="235"/>
      <c r="NTI2" s="235"/>
      <c r="NTJ2" s="235"/>
      <c r="NTK2" s="235"/>
      <c r="NTL2" s="235"/>
      <c r="NTM2" s="235"/>
      <c r="NTN2" s="235"/>
      <c r="NTO2" s="235"/>
      <c r="NTP2" s="235"/>
      <c r="NTQ2" s="235"/>
      <c r="NTR2" s="235"/>
      <c r="NTS2" s="235"/>
      <c r="NTT2" s="235"/>
      <c r="NTU2" s="235"/>
      <c r="NTV2" s="235"/>
      <c r="NTW2" s="235"/>
      <c r="NTX2" s="235"/>
      <c r="NTY2" s="235"/>
      <c r="NTZ2" s="235"/>
      <c r="NUA2" s="235"/>
      <c r="NUB2" s="235"/>
      <c r="NUC2" s="235"/>
      <c r="NUD2" s="235"/>
      <c r="NUE2" s="235"/>
      <c r="NUF2" s="235"/>
      <c r="NUG2" s="235"/>
      <c r="NUH2" s="235"/>
      <c r="NUI2" s="235"/>
      <c r="NUJ2" s="235"/>
      <c r="NUK2" s="235"/>
      <c r="NUL2" s="235"/>
      <c r="NUM2" s="235"/>
      <c r="NUN2" s="235"/>
      <c r="NUO2" s="235"/>
      <c r="NUP2" s="235"/>
      <c r="NUQ2" s="235"/>
      <c r="NUR2" s="235"/>
      <c r="NUS2" s="235"/>
      <c r="NUT2" s="235"/>
      <c r="NUU2" s="235"/>
      <c r="NUV2" s="235"/>
      <c r="NUW2" s="235"/>
      <c r="NUX2" s="235"/>
      <c r="NUY2" s="235"/>
      <c r="NUZ2" s="235"/>
      <c r="NVA2" s="235"/>
      <c r="NVB2" s="235"/>
      <c r="NVC2" s="235"/>
      <c r="NVD2" s="235"/>
      <c r="NVE2" s="235"/>
      <c r="NVF2" s="235"/>
      <c r="NVG2" s="235"/>
      <c r="NVH2" s="235"/>
      <c r="NVI2" s="235"/>
      <c r="NVJ2" s="235"/>
      <c r="NVK2" s="235"/>
      <c r="NVL2" s="235"/>
      <c r="NVM2" s="235"/>
      <c r="NVN2" s="235"/>
      <c r="NVO2" s="235"/>
      <c r="NVP2" s="235"/>
      <c r="NVQ2" s="235"/>
      <c r="NVR2" s="235"/>
      <c r="NVS2" s="235"/>
      <c r="NVT2" s="235"/>
      <c r="NVU2" s="235"/>
      <c r="NVV2" s="235"/>
      <c r="NVW2" s="235"/>
      <c r="NVX2" s="235"/>
      <c r="NVY2" s="235"/>
      <c r="NVZ2" s="235"/>
      <c r="NWA2" s="235"/>
      <c r="NWB2" s="235"/>
      <c r="NWC2" s="235"/>
      <c r="NWD2" s="235"/>
      <c r="NWE2" s="235"/>
      <c r="NWF2" s="235"/>
      <c r="NWG2" s="235"/>
      <c r="NWH2" s="235"/>
      <c r="NWI2" s="235"/>
      <c r="NWJ2" s="235"/>
      <c r="NWK2" s="235"/>
      <c r="NWL2" s="235"/>
      <c r="NWM2" s="235"/>
      <c r="NWN2" s="235"/>
      <c r="NWO2" s="235"/>
      <c r="NWP2" s="235"/>
      <c r="NWQ2" s="235"/>
      <c r="NWR2" s="235"/>
      <c r="NWS2" s="235"/>
      <c r="NWT2" s="235"/>
      <c r="NWU2" s="235"/>
      <c r="NWV2" s="235"/>
      <c r="NWW2" s="235"/>
      <c r="NWX2" s="235"/>
      <c r="NWY2" s="235"/>
      <c r="NWZ2" s="235"/>
      <c r="NXA2" s="235"/>
      <c r="NXB2" s="235"/>
      <c r="NXC2" s="235"/>
      <c r="NXD2" s="235"/>
      <c r="NXE2" s="235"/>
      <c r="NXF2" s="235"/>
      <c r="NXG2" s="235"/>
      <c r="NXH2" s="235"/>
      <c r="NXI2" s="235"/>
      <c r="NXJ2" s="235"/>
      <c r="NXK2" s="235"/>
      <c r="NXL2" s="235"/>
      <c r="NXM2" s="235"/>
      <c r="NXN2" s="235"/>
      <c r="NXO2" s="235"/>
      <c r="NXP2" s="235"/>
      <c r="NXQ2" s="235"/>
      <c r="NXR2" s="235"/>
      <c r="NXS2" s="235"/>
      <c r="NXT2" s="235"/>
      <c r="NXU2" s="235"/>
      <c r="NXV2" s="235"/>
      <c r="NXW2" s="235"/>
      <c r="NXX2" s="235"/>
      <c r="NXY2" s="235"/>
      <c r="NXZ2" s="235"/>
      <c r="NYA2" s="235"/>
      <c r="NYB2" s="235"/>
      <c r="NYC2" s="235"/>
      <c r="NYD2" s="235"/>
      <c r="NYE2" s="235"/>
      <c r="NYF2" s="235"/>
      <c r="NYG2" s="235"/>
      <c r="NYH2" s="235"/>
      <c r="NYI2" s="235"/>
      <c r="NYJ2" s="235"/>
      <c r="NYK2" s="235"/>
      <c r="NYL2" s="235"/>
      <c r="NYM2" s="235"/>
      <c r="NYN2" s="235"/>
      <c r="NYO2" s="235"/>
      <c r="NYP2" s="235"/>
      <c r="NYQ2" s="235"/>
      <c r="NYR2" s="235"/>
      <c r="NYS2" s="235"/>
      <c r="NYT2" s="235"/>
      <c r="NYU2" s="235"/>
      <c r="NYV2" s="235"/>
      <c r="NYW2" s="235"/>
      <c r="NYX2" s="235"/>
      <c r="NYY2" s="235"/>
      <c r="NYZ2" s="235"/>
      <c r="NZA2" s="235"/>
      <c r="NZB2" s="235"/>
      <c r="NZC2" s="235"/>
      <c r="NZD2" s="235"/>
      <c r="NZE2" s="235"/>
      <c r="NZF2" s="235"/>
      <c r="NZG2" s="235"/>
      <c r="NZH2" s="235"/>
      <c r="NZI2" s="235"/>
      <c r="NZJ2" s="235"/>
      <c r="NZK2" s="235"/>
      <c r="NZL2" s="235"/>
      <c r="NZM2" s="235"/>
      <c r="NZN2" s="235"/>
      <c r="NZO2" s="235"/>
      <c r="NZP2" s="235"/>
      <c r="NZQ2" s="235"/>
      <c r="NZR2" s="235"/>
      <c r="NZS2" s="235"/>
      <c r="NZT2" s="235"/>
      <c r="NZU2" s="235"/>
      <c r="NZV2" s="235"/>
      <c r="NZW2" s="235"/>
      <c r="NZX2" s="235"/>
      <c r="NZY2" s="235"/>
      <c r="NZZ2" s="235"/>
      <c r="OAA2" s="235"/>
      <c r="OAB2" s="235"/>
      <c r="OAC2" s="235"/>
      <c r="OAD2" s="235"/>
      <c r="OAE2" s="235"/>
      <c r="OAF2" s="235"/>
      <c r="OAG2" s="235"/>
      <c r="OAH2" s="235"/>
      <c r="OAI2" s="235"/>
      <c r="OAJ2" s="235"/>
      <c r="OAK2" s="235"/>
      <c r="OAL2" s="235"/>
      <c r="OAM2" s="235"/>
      <c r="OAN2" s="235"/>
      <c r="OAO2" s="235"/>
      <c r="OAP2" s="235"/>
      <c r="OAQ2" s="235"/>
      <c r="OAR2" s="235"/>
      <c r="OAS2" s="235"/>
      <c r="OAT2" s="235"/>
      <c r="OAU2" s="235"/>
      <c r="OAV2" s="235"/>
      <c r="OAW2" s="235"/>
      <c r="OAX2" s="235"/>
      <c r="OAY2" s="235"/>
      <c r="OAZ2" s="235"/>
      <c r="OBA2" s="235"/>
      <c r="OBB2" s="235"/>
      <c r="OBC2" s="235"/>
      <c r="OBD2" s="235"/>
      <c r="OBE2" s="235"/>
      <c r="OBF2" s="235"/>
      <c r="OBG2" s="235"/>
      <c r="OBH2" s="235"/>
      <c r="OBI2" s="235"/>
      <c r="OBJ2" s="235"/>
      <c r="OBK2" s="235"/>
      <c r="OBL2" s="235"/>
      <c r="OBM2" s="235"/>
      <c r="OBN2" s="235"/>
      <c r="OBO2" s="235"/>
      <c r="OBP2" s="235"/>
      <c r="OBQ2" s="235"/>
      <c r="OBR2" s="235"/>
      <c r="OBS2" s="235"/>
      <c r="OBT2" s="235"/>
      <c r="OBU2" s="235"/>
      <c r="OBV2" s="235"/>
      <c r="OBW2" s="235"/>
      <c r="OBX2" s="235"/>
      <c r="OBY2" s="235"/>
      <c r="OBZ2" s="235"/>
      <c r="OCA2" s="235"/>
      <c r="OCB2" s="235"/>
      <c r="OCC2" s="235"/>
      <c r="OCD2" s="235"/>
      <c r="OCE2" s="235"/>
      <c r="OCF2" s="235"/>
      <c r="OCG2" s="235"/>
      <c r="OCH2" s="235"/>
      <c r="OCI2" s="235"/>
      <c r="OCJ2" s="235"/>
      <c r="OCK2" s="235"/>
      <c r="OCL2" s="235"/>
      <c r="OCM2" s="235"/>
      <c r="OCN2" s="235"/>
      <c r="OCO2" s="235"/>
      <c r="OCP2" s="235"/>
      <c r="OCQ2" s="235"/>
      <c r="OCR2" s="235"/>
      <c r="OCS2" s="235"/>
      <c r="OCT2" s="235"/>
      <c r="OCU2" s="235"/>
      <c r="OCV2" s="235"/>
      <c r="OCW2" s="235"/>
      <c r="OCX2" s="235"/>
      <c r="OCY2" s="235"/>
      <c r="OCZ2" s="235"/>
      <c r="ODA2" s="235"/>
      <c r="ODB2" s="235"/>
      <c r="ODC2" s="235"/>
      <c r="ODD2" s="235"/>
      <c r="ODE2" s="235"/>
      <c r="ODF2" s="235"/>
      <c r="ODG2" s="235"/>
      <c r="ODH2" s="235"/>
      <c r="ODI2" s="235"/>
      <c r="ODJ2" s="235"/>
      <c r="ODK2" s="235"/>
      <c r="ODL2" s="235"/>
      <c r="ODM2" s="235"/>
      <c r="ODN2" s="235"/>
      <c r="ODO2" s="235"/>
      <c r="ODP2" s="235"/>
      <c r="ODQ2" s="235"/>
      <c r="ODR2" s="235"/>
      <c r="ODS2" s="235"/>
      <c r="ODT2" s="235"/>
      <c r="ODU2" s="235"/>
      <c r="ODV2" s="235"/>
      <c r="ODW2" s="235"/>
      <c r="ODX2" s="235"/>
      <c r="ODY2" s="235"/>
      <c r="ODZ2" s="235"/>
      <c r="OEA2" s="235"/>
      <c r="OEB2" s="235"/>
      <c r="OEC2" s="235"/>
      <c r="OED2" s="235"/>
      <c r="OEE2" s="235"/>
      <c r="OEF2" s="235"/>
      <c r="OEG2" s="235"/>
      <c r="OEH2" s="235"/>
      <c r="OEI2" s="235"/>
      <c r="OEJ2" s="235"/>
      <c r="OEK2" s="235"/>
      <c r="OEL2" s="235"/>
      <c r="OEM2" s="235"/>
      <c r="OEN2" s="235"/>
      <c r="OEO2" s="235"/>
      <c r="OEP2" s="235"/>
      <c r="OEQ2" s="235"/>
      <c r="OER2" s="235"/>
      <c r="OES2" s="235"/>
      <c r="OET2" s="235"/>
      <c r="OEU2" s="235"/>
      <c r="OEV2" s="235"/>
      <c r="OEW2" s="235"/>
      <c r="OEX2" s="235"/>
      <c r="OEY2" s="235"/>
      <c r="OEZ2" s="235"/>
      <c r="OFA2" s="235"/>
      <c r="OFB2" s="235"/>
      <c r="OFC2" s="235"/>
      <c r="OFD2" s="235"/>
      <c r="OFE2" s="235"/>
      <c r="OFF2" s="235"/>
      <c r="OFG2" s="235"/>
      <c r="OFH2" s="235"/>
      <c r="OFI2" s="235"/>
      <c r="OFJ2" s="235"/>
      <c r="OFK2" s="235"/>
      <c r="OFL2" s="235"/>
      <c r="OFM2" s="235"/>
      <c r="OFN2" s="235"/>
      <c r="OFO2" s="235"/>
      <c r="OFP2" s="235"/>
      <c r="OFQ2" s="235"/>
      <c r="OFR2" s="235"/>
      <c r="OFS2" s="235"/>
      <c r="OFT2" s="235"/>
      <c r="OFU2" s="235"/>
      <c r="OFV2" s="235"/>
      <c r="OFW2" s="235"/>
      <c r="OFX2" s="235"/>
      <c r="OFY2" s="235"/>
      <c r="OFZ2" s="235"/>
      <c r="OGA2" s="235"/>
      <c r="OGB2" s="235"/>
      <c r="OGC2" s="235"/>
      <c r="OGD2" s="235"/>
      <c r="OGE2" s="235"/>
      <c r="OGF2" s="235"/>
      <c r="OGG2" s="235"/>
      <c r="OGH2" s="235"/>
      <c r="OGI2" s="235"/>
      <c r="OGJ2" s="235"/>
      <c r="OGK2" s="235"/>
      <c r="OGL2" s="235"/>
      <c r="OGM2" s="235"/>
      <c r="OGN2" s="235"/>
      <c r="OGO2" s="235"/>
      <c r="OGP2" s="235"/>
      <c r="OGQ2" s="235"/>
      <c r="OGR2" s="235"/>
      <c r="OGS2" s="235"/>
      <c r="OGT2" s="235"/>
      <c r="OGU2" s="235"/>
      <c r="OGV2" s="235"/>
      <c r="OGW2" s="235"/>
      <c r="OGX2" s="235"/>
      <c r="OGY2" s="235"/>
      <c r="OGZ2" s="235"/>
      <c r="OHA2" s="235"/>
      <c r="OHB2" s="235"/>
      <c r="OHC2" s="235"/>
      <c r="OHD2" s="235"/>
      <c r="OHE2" s="235"/>
      <c r="OHF2" s="235"/>
      <c r="OHG2" s="235"/>
      <c r="OHH2" s="235"/>
      <c r="OHI2" s="235"/>
      <c r="OHJ2" s="235"/>
      <c r="OHK2" s="235"/>
      <c r="OHL2" s="235"/>
      <c r="OHM2" s="235"/>
      <c r="OHN2" s="235"/>
      <c r="OHO2" s="235"/>
      <c r="OHP2" s="235"/>
      <c r="OHQ2" s="235"/>
      <c r="OHR2" s="235"/>
      <c r="OHS2" s="235"/>
      <c r="OHT2" s="235"/>
      <c r="OHU2" s="235"/>
      <c r="OHV2" s="235"/>
      <c r="OHW2" s="235"/>
      <c r="OHX2" s="235"/>
      <c r="OHY2" s="235"/>
      <c r="OHZ2" s="235"/>
      <c r="OIA2" s="235"/>
      <c r="OIB2" s="235"/>
      <c r="OIC2" s="235"/>
      <c r="OID2" s="235"/>
      <c r="OIE2" s="235"/>
      <c r="OIF2" s="235"/>
      <c r="OIG2" s="235"/>
      <c r="OIH2" s="235"/>
      <c r="OII2" s="235"/>
      <c r="OIJ2" s="235"/>
      <c r="OIK2" s="235"/>
      <c r="OIL2" s="235"/>
      <c r="OIM2" s="235"/>
      <c r="OIN2" s="235"/>
      <c r="OIO2" s="235"/>
      <c r="OIP2" s="235"/>
      <c r="OIQ2" s="235"/>
      <c r="OIR2" s="235"/>
      <c r="OIS2" s="235"/>
      <c r="OIT2" s="235"/>
      <c r="OIU2" s="235"/>
      <c r="OIV2" s="235"/>
      <c r="OIW2" s="235"/>
      <c r="OIX2" s="235"/>
      <c r="OIY2" s="235"/>
      <c r="OIZ2" s="235"/>
      <c r="OJA2" s="235"/>
      <c r="OJB2" s="235"/>
      <c r="OJC2" s="235"/>
      <c r="OJD2" s="235"/>
      <c r="OJE2" s="235"/>
      <c r="OJF2" s="235"/>
      <c r="OJG2" s="235"/>
      <c r="OJH2" s="235"/>
      <c r="OJI2" s="235"/>
      <c r="OJJ2" s="235"/>
      <c r="OJK2" s="235"/>
      <c r="OJL2" s="235"/>
      <c r="OJM2" s="235"/>
      <c r="OJN2" s="235"/>
      <c r="OJO2" s="235"/>
      <c r="OJP2" s="235"/>
      <c r="OJQ2" s="235"/>
      <c r="OJR2" s="235"/>
      <c r="OJS2" s="235"/>
      <c r="OJT2" s="235"/>
      <c r="OJU2" s="235"/>
      <c r="OJV2" s="235"/>
      <c r="OJW2" s="235"/>
      <c r="OJX2" s="235"/>
      <c r="OJY2" s="235"/>
      <c r="OJZ2" s="235"/>
      <c r="OKA2" s="235"/>
      <c r="OKB2" s="235"/>
      <c r="OKC2" s="235"/>
      <c r="OKD2" s="235"/>
      <c r="OKE2" s="235"/>
      <c r="OKF2" s="235"/>
      <c r="OKG2" s="235"/>
      <c r="OKH2" s="235"/>
      <c r="OKI2" s="235"/>
      <c r="OKJ2" s="235"/>
      <c r="OKK2" s="235"/>
      <c r="OKL2" s="235"/>
      <c r="OKM2" s="235"/>
      <c r="OKN2" s="235"/>
      <c r="OKO2" s="235"/>
      <c r="OKP2" s="235"/>
      <c r="OKQ2" s="235"/>
      <c r="OKR2" s="235"/>
      <c r="OKS2" s="235"/>
      <c r="OKT2" s="235"/>
      <c r="OKU2" s="235"/>
      <c r="OKV2" s="235"/>
      <c r="OKW2" s="235"/>
      <c r="OKX2" s="235"/>
      <c r="OKY2" s="235"/>
      <c r="OKZ2" s="235"/>
      <c r="OLA2" s="235"/>
      <c r="OLB2" s="235"/>
      <c r="OLC2" s="235"/>
      <c r="OLD2" s="235"/>
      <c r="OLE2" s="235"/>
      <c r="OLF2" s="235"/>
      <c r="OLG2" s="235"/>
      <c r="OLH2" s="235"/>
      <c r="OLI2" s="235"/>
      <c r="OLJ2" s="235"/>
      <c r="OLK2" s="235"/>
      <c r="OLL2" s="235"/>
      <c r="OLM2" s="235"/>
      <c r="OLN2" s="235"/>
      <c r="OLO2" s="235"/>
      <c r="OLP2" s="235"/>
      <c r="OLQ2" s="235"/>
      <c r="OLR2" s="235"/>
      <c r="OLS2" s="235"/>
      <c r="OLT2" s="235"/>
      <c r="OLU2" s="235"/>
      <c r="OLV2" s="235"/>
      <c r="OLW2" s="235"/>
      <c r="OLX2" s="235"/>
      <c r="OLY2" s="235"/>
      <c r="OLZ2" s="235"/>
      <c r="OMA2" s="235"/>
      <c r="OMB2" s="235"/>
      <c r="OMC2" s="235"/>
      <c r="OMD2" s="235"/>
      <c r="OME2" s="235"/>
      <c r="OMF2" s="235"/>
      <c r="OMG2" s="235"/>
      <c r="OMH2" s="235"/>
      <c r="OMI2" s="235"/>
      <c r="OMJ2" s="235"/>
      <c r="OMK2" s="235"/>
      <c r="OML2" s="235"/>
      <c r="OMM2" s="235"/>
      <c r="OMN2" s="235"/>
      <c r="OMO2" s="235"/>
      <c r="OMP2" s="235"/>
      <c r="OMQ2" s="235"/>
      <c r="OMR2" s="235"/>
      <c r="OMS2" s="235"/>
      <c r="OMT2" s="235"/>
      <c r="OMU2" s="235"/>
      <c r="OMV2" s="235"/>
      <c r="OMW2" s="235"/>
      <c r="OMX2" s="235"/>
      <c r="OMY2" s="235"/>
      <c r="OMZ2" s="235"/>
      <c r="ONA2" s="235"/>
      <c r="ONB2" s="235"/>
      <c r="ONC2" s="235"/>
      <c r="OND2" s="235"/>
      <c r="ONE2" s="235"/>
      <c r="ONF2" s="235"/>
      <c r="ONG2" s="235"/>
      <c r="ONH2" s="235"/>
      <c r="ONI2" s="235"/>
      <c r="ONJ2" s="235"/>
      <c r="ONK2" s="235"/>
      <c r="ONL2" s="235"/>
      <c r="ONM2" s="235"/>
      <c r="ONN2" s="235"/>
      <c r="ONO2" s="235"/>
      <c r="ONP2" s="235"/>
      <c r="ONQ2" s="235"/>
      <c r="ONR2" s="235"/>
      <c r="ONS2" s="235"/>
      <c r="ONT2" s="235"/>
      <c r="ONU2" s="235"/>
      <c r="ONV2" s="235"/>
      <c r="ONW2" s="235"/>
      <c r="ONX2" s="235"/>
      <c r="ONY2" s="235"/>
      <c r="ONZ2" s="235"/>
      <c r="OOA2" s="235"/>
      <c r="OOB2" s="235"/>
      <c r="OOC2" s="235"/>
      <c r="OOD2" s="235"/>
      <c r="OOE2" s="235"/>
      <c r="OOF2" s="235"/>
      <c r="OOG2" s="235"/>
      <c r="OOH2" s="235"/>
      <c r="OOI2" s="235"/>
      <c r="OOJ2" s="235"/>
      <c r="OOK2" s="235"/>
      <c r="OOL2" s="235"/>
      <c r="OOM2" s="235"/>
      <c r="OON2" s="235"/>
      <c r="OOO2" s="235"/>
      <c r="OOP2" s="235"/>
      <c r="OOQ2" s="235"/>
      <c r="OOR2" s="235"/>
      <c r="OOS2" s="235"/>
      <c r="OOT2" s="235"/>
      <c r="OOU2" s="235"/>
      <c r="OOV2" s="235"/>
      <c r="OOW2" s="235"/>
      <c r="OOX2" s="235"/>
      <c r="OOY2" s="235"/>
      <c r="OOZ2" s="235"/>
      <c r="OPA2" s="235"/>
      <c r="OPB2" s="235"/>
      <c r="OPC2" s="235"/>
      <c r="OPD2" s="235"/>
      <c r="OPE2" s="235"/>
      <c r="OPF2" s="235"/>
      <c r="OPG2" s="235"/>
      <c r="OPH2" s="235"/>
      <c r="OPI2" s="235"/>
      <c r="OPJ2" s="235"/>
      <c r="OPK2" s="235"/>
      <c r="OPL2" s="235"/>
      <c r="OPM2" s="235"/>
      <c r="OPN2" s="235"/>
      <c r="OPO2" s="235"/>
      <c r="OPP2" s="235"/>
      <c r="OPQ2" s="235"/>
      <c r="OPR2" s="235"/>
      <c r="OPS2" s="235"/>
      <c r="OPT2" s="235"/>
      <c r="OPU2" s="235"/>
      <c r="OPV2" s="235"/>
      <c r="OPW2" s="235"/>
      <c r="OPX2" s="235"/>
      <c r="OPY2" s="235"/>
      <c r="OPZ2" s="235"/>
      <c r="OQA2" s="235"/>
      <c r="OQB2" s="235"/>
      <c r="OQC2" s="235"/>
      <c r="OQD2" s="235"/>
      <c r="OQE2" s="235"/>
      <c r="OQF2" s="235"/>
      <c r="OQG2" s="235"/>
      <c r="OQH2" s="235"/>
      <c r="OQI2" s="235"/>
      <c r="OQJ2" s="235"/>
      <c r="OQK2" s="235"/>
      <c r="OQL2" s="235"/>
      <c r="OQM2" s="235"/>
      <c r="OQN2" s="235"/>
      <c r="OQO2" s="235"/>
      <c r="OQP2" s="235"/>
      <c r="OQQ2" s="235"/>
      <c r="OQR2" s="235"/>
      <c r="OQS2" s="235"/>
      <c r="OQT2" s="235"/>
      <c r="OQU2" s="235"/>
      <c r="OQV2" s="235"/>
      <c r="OQW2" s="235"/>
      <c r="OQX2" s="235"/>
      <c r="OQY2" s="235"/>
      <c r="OQZ2" s="235"/>
      <c r="ORA2" s="235"/>
      <c r="ORB2" s="235"/>
      <c r="ORC2" s="235"/>
      <c r="ORD2" s="235"/>
      <c r="ORE2" s="235"/>
      <c r="ORF2" s="235"/>
      <c r="ORG2" s="235"/>
      <c r="ORH2" s="235"/>
      <c r="ORI2" s="235"/>
      <c r="ORJ2" s="235"/>
      <c r="ORK2" s="235"/>
      <c r="ORL2" s="235"/>
      <c r="ORM2" s="235"/>
      <c r="ORN2" s="235"/>
      <c r="ORO2" s="235"/>
      <c r="ORP2" s="235"/>
      <c r="ORQ2" s="235"/>
      <c r="ORR2" s="235"/>
      <c r="ORS2" s="235"/>
      <c r="ORT2" s="235"/>
      <c r="ORU2" s="235"/>
      <c r="ORV2" s="235"/>
      <c r="ORW2" s="235"/>
      <c r="ORX2" s="235"/>
      <c r="ORY2" s="235"/>
      <c r="ORZ2" s="235"/>
      <c r="OSA2" s="235"/>
      <c r="OSB2" s="235"/>
      <c r="OSC2" s="235"/>
      <c r="OSD2" s="235"/>
      <c r="OSE2" s="235"/>
      <c r="OSF2" s="235"/>
      <c r="OSG2" s="235"/>
      <c r="OSH2" s="235"/>
      <c r="OSI2" s="235"/>
      <c r="OSJ2" s="235"/>
      <c r="OSK2" s="235"/>
      <c r="OSL2" s="235"/>
      <c r="OSM2" s="235"/>
      <c r="OSN2" s="235"/>
      <c r="OSO2" s="235"/>
      <c r="OSP2" s="235"/>
      <c r="OSQ2" s="235"/>
      <c r="OSR2" s="235"/>
      <c r="OSS2" s="235"/>
      <c r="OST2" s="235"/>
      <c r="OSU2" s="235"/>
      <c r="OSV2" s="235"/>
      <c r="OSW2" s="235"/>
      <c r="OSX2" s="235"/>
      <c r="OSY2" s="235"/>
      <c r="OSZ2" s="235"/>
      <c r="OTA2" s="235"/>
      <c r="OTB2" s="235"/>
      <c r="OTC2" s="235"/>
      <c r="OTD2" s="235"/>
      <c r="OTE2" s="235"/>
      <c r="OTF2" s="235"/>
      <c r="OTG2" s="235"/>
      <c r="OTH2" s="235"/>
      <c r="OTI2" s="235"/>
      <c r="OTJ2" s="235"/>
      <c r="OTK2" s="235"/>
      <c r="OTL2" s="235"/>
      <c r="OTM2" s="235"/>
      <c r="OTN2" s="235"/>
      <c r="OTO2" s="235"/>
      <c r="OTP2" s="235"/>
      <c r="OTQ2" s="235"/>
      <c r="OTR2" s="235"/>
      <c r="OTS2" s="235"/>
      <c r="OTT2" s="235"/>
      <c r="OTU2" s="235"/>
      <c r="OTV2" s="235"/>
      <c r="OTW2" s="235"/>
      <c r="OTX2" s="235"/>
      <c r="OTY2" s="235"/>
      <c r="OTZ2" s="235"/>
      <c r="OUA2" s="235"/>
      <c r="OUB2" s="235"/>
      <c r="OUC2" s="235"/>
      <c r="OUD2" s="235"/>
      <c r="OUE2" s="235"/>
      <c r="OUF2" s="235"/>
      <c r="OUG2" s="235"/>
      <c r="OUH2" s="235"/>
      <c r="OUI2" s="235"/>
      <c r="OUJ2" s="235"/>
      <c r="OUK2" s="235"/>
      <c r="OUL2" s="235"/>
      <c r="OUM2" s="235"/>
      <c r="OUN2" s="235"/>
      <c r="OUO2" s="235"/>
      <c r="OUP2" s="235"/>
      <c r="OUQ2" s="235"/>
      <c r="OUR2" s="235"/>
      <c r="OUS2" s="235"/>
      <c r="OUT2" s="235"/>
      <c r="OUU2" s="235"/>
      <c r="OUV2" s="235"/>
      <c r="OUW2" s="235"/>
      <c r="OUX2" s="235"/>
      <c r="OUY2" s="235"/>
      <c r="OUZ2" s="235"/>
      <c r="OVA2" s="235"/>
      <c r="OVB2" s="235"/>
      <c r="OVC2" s="235"/>
      <c r="OVD2" s="235"/>
      <c r="OVE2" s="235"/>
      <c r="OVF2" s="235"/>
      <c r="OVG2" s="235"/>
      <c r="OVH2" s="235"/>
      <c r="OVI2" s="235"/>
      <c r="OVJ2" s="235"/>
      <c r="OVK2" s="235"/>
      <c r="OVL2" s="235"/>
      <c r="OVM2" s="235"/>
      <c r="OVN2" s="235"/>
      <c r="OVO2" s="235"/>
      <c r="OVP2" s="235"/>
      <c r="OVQ2" s="235"/>
      <c r="OVR2" s="235"/>
      <c r="OVS2" s="235"/>
      <c r="OVT2" s="235"/>
      <c r="OVU2" s="235"/>
      <c r="OVV2" s="235"/>
      <c r="OVW2" s="235"/>
      <c r="OVX2" s="235"/>
      <c r="OVY2" s="235"/>
      <c r="OVZ2" s="235"/>
      <c r="OWA2" s="235"/>
      <c r="OWB2" s="235"/>
      <c r="OWC2" s="235"/>
      <c r="OWD2" s="235"/>
      <c r="OWE2" s="235"/>
      <c r="OWF2" s="235"/>
      <c r="OWG2" s="235"/>
      <c r="OWH2" s="235"/>
      <c r="OWI2" s="235"/>
      <c r="OWJ2" s="235"/>
      <c r="OWK2" s="235"/>
      <c r="OWL2" s="235"/>
      <c r="OWM2" s="235"/>
      <c r="OWN2" s="235"/>
      <c r="OWO2" s="235"/>
      <c r="OWP2" s="235"/>
      <c r="OWQ2" s="235"/>
      <c r="OWR2" s="235"/>
      <c r="OWS2" s="235"/>
      <c r="OWT2" s="235"/>
      <c r="OWU2" s="235"/>
      <c r="OWV2" s="235"/>
      <c r="OWW2" s="235"/>
      <c r="OWX2" s="235"/>
      <c r="OWY2" s="235"/>
      <c r="OWZ2" s="235"/>
      <c r="OXA2" s="235"/>
      <c r="OXB2" s="235"/>
      <c r="OXC2" s="235"/>
      <c r="OXD2" s="235"/>
      <c r="OXE2" s="235"/>
      <c r="OXF2" s="235"/>
      <c r="OXG2" s="235"/>
      <c r="OXH2" s="235"/>
      <c r="OXI2" s="235"/>
      <c r="OXJ2" s="235"/>
      <c r="OXK2" s="235"/>
      <c r="OXL2" s="235"/>
      <c r="OXM2" s="235"/>
      <c r="OXN2" s="235"/>
      <c r="OXO2" s="235"/>
      <c r="OXP2" s="235"/>
      <c r="OXQ2" s="235"/>
      <c r="OXR2" s="235"/>
      <c r="OXS2" s="235"/>
      <c r="OXT2" s="235"/>
      <c r="OXU2" s="235"/>
      <c r="OXV2" s="235"/>
      <c r="OXW2" s="235"/>
      <c r="OXX2" s="235"/>
      <c r="OXY2" s="235"/>
      <c r="OXZ2" s="235"/>
      <c r="OYA2" s="235"/>
      <c r="OYB2" s="235"/>
      <c r="OYC2" s="235"/>
      <c r="OYD2" s="235"/>
      <c r="OYE2" s="235"/>
      <c r="OYF2" s="235"/>
      <c r="OYG2" s="235"/>
      <c r="OYH2" s="235"/>
      <c r="OYI2" s="235"/>
      <c r="OYJ2" s="235"/>
      <c r="OYK2" s="235"/>
      <c r="OYL2" s="235"/>
      <c r="OYM2" s="235"/>
      <c r="OYN2" s="235"/>
      <c r="OYO2" s="235"/>
      <c r="OYP2" s="235"/>
      <c r="OYQ2" s="235"/>
      <c r="OYR2" s="235"/>
      <c r="OYS2" s="235"/>
      <c r="OYT2" s="235"/>
      <c r="OYU2" s="235"/>
      <c r="OYV2" s="235"/>
      <c r="OYW2" s="235"/>
      <c r="OYX2" s="235"/>
      <c r="OYY2" s="235"/>
      <c r="OYZ2" s="235"/>
      <c r="OZA2" s="235"/>
      <c r="OZB2" s="235"/>
      <c r="OZC2" s="235"/>
      <c r="OZD2" s="235"/>
      <c r="OZE2" s="235"/>
      <c r="OZF2" s="235"/>
      <c r="OZG2" s="235"/>
      <c r="OZH2" s="235"/>
      <c r="OZI2" s="235"/>
      <c r="OZJ2" s="235"/>
      <c r="OZK2" s="235"/>
      <c r="OZL2" s="235"/>
      <c r="OZM2" s="235"/>
      <c r="OZN2" s="235"/>
      <c r="OZO2" s="235"/>
      <c r="OZP2" s="235"/>
      <c r="OZQ2" s="235"/>
      <c r="OZR2" s="235"/>
      <c r="OZS2" s="235"/>
      <c r="OZT2" s="235"/>
      <c r="OZU2" s="235"/>
      <c r="OZV2" s="235"/>
      <c r="OZW2" s="235"/>
      <c r="OZX2" s="235"/>
      <c r="OZY2" s="235"/>
      <c r="OZZ2" s="235"/>
      <c r="PAA2" s="235"/>
      <c r="PAB2" s="235"/>
      <c r="PAC2" s="235"/>
      <c r="PAD2" s="235"/>
      <c r="PAE2" s="235"/>
      <c r="PAF2" s="235"/>
      <c r="PAG2" s="235"/>
      <c r="PAH2" s="235"/>
      <c r="PAI2" s="235"/>
      <c r="PAJ2" s="235"/>
      <c r="PAK2" s="235"/>
      <c r="PAL2" s="235"/>
      <c r="PAM2" s="235"/>
      <c r="PAN2" s="235"/>
      <c r="PAO2" s="235"/>
      <c r="PAP2" s="235"/>
      <c r="PAQ2" s="235"/>
      <c r="PAR2" s="235"/>
      <c r="PAS2" s="235"/>
      <c r="PAT2" s="235"/>
      <c r="PAU2" s="235"/>
      <c r="PAV2" s="235"/>
      <c r="PAW2" s="235"/>
      <c r="PAX2" s="235"/>
      <c r="PAY2" s="235"/>
      <c r="PAZ2" s="235"/>
      <c r="PBA2" s="235"/>
      <c r="PBB2" s="235"/>
      <c r="PBC2" s="235"/>
      <c r="PBD2" s="235"/>
      <c r="PBE2" s="235"/>
      <c r="PBF2" s="235"/>
      <c r="PBG2" s="235"/>
      <c r="PBH2" s="235"/>
      <c r="PBI2" s="235"/>
      <c r="PBJ2" s="235"/>
      <c r="PBK2" s="235"/>
      <c r="PBL2" s="235"/>
      <c r="PBM2" s="235"/>
      <c r="PBN2" s="235"/>
      <c r="PBO2" s="235"/>
      <c r="PBP2" s="235"/>
      <c r="PBQ2" s="235"/>
      <c r="PBR2" s="235"/>
      <c r="PBS2" s="235"/>
      <c r="PBT2" s="235"/>
      <c r="PBU2" s="235"/>
      <c r="PBV2" s="235"/>
      <c r="PBW2" s="235"/>
      <c r="PBX2" s="235"/>
      <c r="PBY2" s="235"/>
      <c r="PBZ2" s="235"/>
      <c r="PCA2" s="235"/>
      <c r="PCB2" s="235"/>
      <c r="PCC2" s="235"/>
      <c r="PCD2" s="235"/>
      <c r="PCE2" s="235"/>
      <c r="PCF2" s="235"/>
      <c r="PCG2" s="235"/>
      <c r="PCH2" s="235"/>
      <c r="PCI2" s="235"/>
      <c r="PCJ2" s="235"/>
      <c r="PCK2" s="235"/>
      <c r="PCL2" s="235"/>
      <c r="PCM2" s="235"/>
      <c r="PCN2" s="235"/>
      <c r="PCO2" s="235"/>
      <c r="PCP2" s="235"/>
      <c r="PCQ2" s="235"/>
      <c r="PCR2" s="235"/>
      <c r="PCS2" s="235"/>
      <c r="PCT2" s="235"/>
      <c r="PCU2" s="235"/>
      <c r="PCV2" s="235"/>
      <c r="PCW2" s="235"/>
      <c r="PCX2" s="235"/>
      <c r="PCY2" s="235"/>
      <c r="PCZ2" s="235"/>
      <c r="PDA2" s="235"/>
      <c r="PDB2" s="235"/>
      <c r="PDC2" s="235"/>
      <c r="PDD2" s="235"/>
      <c r="PDE2" s="235"/>
      <c r="PDF2" s="235"/>
      <c r="PDG2" s="235"/>
      <c r="PDH2" s="235"/>
      <c r="PDI2" s="235"/>
      <c r="PDJ2" s="235"/>
      <c r="PDK2" s="235"/>
      <c r="PDL2" s="235"/>
      <c r="PDM2" s="235"/>
      <c r="PDN2" s="235"/>
      <c r="PDO2" s="235"/>
      <c r="PDP2" s="235"/>
      <c r="PDQ2" s="235"/>
      <c r="PDR2" s="235"/>
      <c r="PDS2" s="235"/>
      <c r="PDT2" s="235"/>
      <c r="PDU2" s="235"/>
      <c r="PDV2" s="235"/>
      <c r="PDW2" s="235"/>
      <c r="PDX2" s="235"/>
      <c r="PDY2" s="235"/>
      <c r="PDZ2" s="235"/>
      <c r="PEA2" s="235"/>
      <c r="PEB2" s="235"/>
      <c r="PEC2" s="235"/>
      <c r="PED2" s="235"/>
      <c r="PEE2" s="235"/>
      <c r="PEF2" s="235"/>
      <c r="PEG2" s="235"/>
      <c r="PEH2" s="235"/>
      <c r="PEI2" s="235"/>
      <c r="PEJ2" s="235"/>
      <c r="PEK2" s="235"/>
      <c r="PEL2" s="235"/>
      <c r="PEM2" s="235"/>
      <c r="PEN2" s="235"/>
      <c r="PEO2" s="235"/>
      <c r="PEP2" s="235"/>
      <c r="PEQ2" s="235"/>
      <c r="PER2" s="235"/>
      <c r="PES2" s="235"/>
      <c r="PET2" s="235"/>
      <c r="PEU2" s="235"/>
      <c r="PEV2" s="235"/>
      <c r="PEW2" s="235"/>
      <c r="PEX2" s="235"/>
      <c r="PEY2" s="235"/>
      <c r="PEZ2" s="235"/>
      <c r="PFA2" s="235"/>
      <c r="PFB2" s="235"/>
      <c r="PFC2" s="235"/>
      <c r="PFD2" s="235"/>
      <c r="PFE2" s="235"/>
      <c r="PFF2" s="235"/>
      <c r="PFG2" s="235"/>
      <c r="PFH2" s="235"/>
      <c r="PFI2" s="235"/>
      <c r="PFJ2" s="235"/>
      <c r="PFK2" s="235"/>
      <c r="PFL2" s="235"/>
      <c r="PFM2" s="235"/>
      <c r="PFN2" s="235"/>
      <c r="PFO2" s="235"/>
      <c r="PFP2" s="235"/>
      <c r="PFQ2" s="235"/>
      <c r="PFR2" s="235"/>
      <c r="PFS2" s="235"/>
      <c r="PFT2" s="235"/>
      <c r="PFU2" s="235"/>
      <c r="PFV2" s="235"/>
      <c r="PFW2" s="235"/>
      <c r="PFX2" s="235"/>
      <c r="PFY2" s="235"/>
      <c r="PFZ2" s="235"/>
      <c r="PGA2" s="235"/>
      <c r="PGB2" s="235"/>
      <c r="PGC2" s="235"/>
      <c r="PGD2" s="235"/>
      <c r="PGE2" s="235"/>
      <c r="PGF2" s="235"/>
      <c r="PGG2" s="235"/>
      <c r="PGH2" s="235"/>
      <c r="PGI2" s="235"/>
      <c r="PGJ2" s="235"/>
      <c r="PGK2" s="235"/>
      <c r="PGL2" s="235"/>
      <c r="PGM2" s="235"/>
      <c r="PGN2" s="235"/>
      <c r="PGO2" s="235"/>
      <c r="PGP2" s="235"/>
      <c r="PGQ2" s="235"/>
      <c r="PGR2" s="235"/>
      <c r="PGS2" s="235"/>
      <c r="PGT2" s="235"/>
      <c r="PGU2" s="235"/>
      <c r="PGV2" s="235"/>
      <c r="PGW2" s="235"/>
      <c r="PGX2" s="235"/>
      <c r="PGY2" s="235"/>
      <c r="PGZ2" s="235"/>
      <c r="PHA2" s="235"/>
      <c r="PHB2" s="235"/>
      <c r="PHC2" s="235"/>
      <c r="PHD2" s="235"/>
      <c r="PHE2" s="235"/>
      <c r="PHF2" s="235"/>
      <c r="PHG2" s="235"/>
      <c r="PHH2" s="235"/>
      <c r="PHI2" s="235"/>
      <c r="PHJ2" s="235"/>
      <c r="PHK2" s="235"/>
      <c r="PHL2" s="235"/>
      <c r="PHM2" s="235"/>
      <c r="PHN2" s="235"/>
      <c r="PHO2" s="235"/>
      <c r="PHP2" s="235"/>
      <c r="PHQ2" s="235"/>
      <c r="PHR2" s="235"/>
      <c r="PHS2" s="235"/>
      <c r="PHT2" s="235"/>
      <c r="PHU2" s="235"/>
      <c r="PHV2" s="235"/>
      <c r="PHW2" s="235"/>
      <c r="PHX2" s="235"/>
      <c r="PHY2" s="235"/>
      <c r="PHZ2" s="235"/>
      <c r="PIA2" s="235"/>
      <c r="PIB2" s="235"/>
      <c r="PIC2" s="235"/>
      <c r="PID2" s="235"/>
      <c r="PIE2" s="235"/>
      <c r="PIF2" s="235"/>
      <c r="PIG2" s="235"/>
      <c r="PIH2" s="235"/>
      <c r="PII2" s="235"/>
      <c r="PIJ2" s="235"/>
      <c r="PIK2" s="235"/>
      <c r="PIL2" s="235"/>
      <c r="PIM2" s="235"/>
      <c r="PIN2" s="235"/>
      <c r="PIO2" s="235"/>
      <c r="PIP2" s="235"/>
      <c r="PIQ2" s="235"/>
      <c r="PIR2" s="235"/>
      <c r="PIS2" s="235"/>
      <c r="PIT2" s="235"/>
      <c r="PIU2" s="235"/>
      <c r="PIV2" s="235"/>
      <c r="PIW2" s="235"/>
      <c r="PIX2" s="235"/>
      <c r="PIY2" s="235"/>
      <c r="PIZ2" s="235"/>
      <c r="PJA2" s="235"/>
      <c r="PJB2" s="235"/>
      <c r="PJC2" s="235"/>
      <c r="PJD2" s="235"/>
      <c r="PJE2" s="235"/>
      <c r="PJF2" s="235"/>
      <c r="PJG2" s="235"/>
      <c r="PJH2" s="235"/>
      <c r="PJI2" s="235"/>
      <c r="PJJ2" s="235"/>
      <c r="PJK2" s="235"/>
      <c r="PJL2" s="235"/>
      <c r="PJM2" s="235"/>
      <c r="PJN2" s="235"/>
      <c r="PJO2" s="235"/>
      <c r="PJP2" s="235"/>
      <c r="PJQ2" s="235"/>
      <c r="PJR2" s="235"/>
      <c r="PJS2" s="235"/>
      <c r="PJT2" s="235"/>
      <c r="PJU2" s="235"/>
      <c r="PJV2" s="235"/>
      <c r="PJW2" s="235"/>
      <c r="PJX2" s="235"/>
      <c r="PJY2" s="235"/>
      <c r="PJZ2" s="235"/>
      <c r="PKA2" s="235"/>
      <c r="PKB2" s="235"/>
      <c r="PKC2" s="235"/>
      <c r="PKD2" s="235"/>
      <c r="PKE2" s="235"/>
      <c r="PKF2" s="235"/>
      <c r="PKG2" s="235"/>
      <c r="PKH2" s="235"/>
      <c r="PKI2" s="235"/>
      <c r="PKJ2" s="235"/>
      <c r="PKK2" s="235"/>
      <c r="PKL2" s="235"/>
      <c r="PKM2" s="235"/>
      <c r="PKN2" s="235"/>
      <c r="PKO2" s="235"/>
      <c r="PKP2" s="235"/>
      <c r="PKQ2" s="235"/>
      <c r="PKR2" s="235"/>
      <c r="PKS2" s="235"/>
      <c r="PKT2" s="235"/>
      <c r="PKU2" s="235"/>
      <c r="PKV2" s="235"/>
      <c r="PKW2" s="235"/>
      <c r="PKX2" s="235"/>
      <c r="PKY2" s="235"/>
      <c r="PKZ2" s="235"/>
      <c r="PLA2" s="235"/>
      <c r="PLB2" s="235"/>
      <c r="PLC2" s="235"/>
      <c r="PLD2" s="235"/>
      <c r="PLE2" s="235"/>
      <c r="PLF2" s="235"/>
      <c r="PLG2" s="235"/>
      <c r="PLH2" s="235"/>
      <c r="PLI2" s="235"/>
      <c r="PLJ2" s="235"/>
      <c r="PLK2" s="235"/>
      <c r="PLL2" s="235"/>
      <c r="PLM2" s="235"/>
      <c r="PLN2" s="235"/>
      <c r="PLO2" s="235"/>
      <c r="PLP2" s="235"/>
      <c r="PLQ2" s="235"/>
      <c r="PLR2" s="235"/>
      <c r="PLS2" s="235"/>
      <c r="PLT2" s="235"/>
      <c r="PLU2" s="235"/>
      <c r="PLV2" s="235"/>
      <c r="PLW2" s="235"/>
      <c r="PLX2" s="235"/>
      <c r="PLY2" s="235"/>
      <c r="PLZ2" s="235"/>
      <c r="PMA2" s="235"/>
      <c r="PMB2" s="235"/>
      <c r="PMC2" s="235"/>
      <c r="PMD2" s="235"/>
      <c r="PME2" s="235"/>
      <c r="PMF2" s="235"/>
      <c r="PMG2" s="235"/>
      <c r="PMH2" s="235"/>
      <c r="PMI2" s="235"/>
      <c r="PMJ2" s="235"/>
      <c r="PMK2" s="235"/>
      <c r="PML2" s="235"/>
      <c r="PMM2" s="235"/>
      <c r="PMN2" s="235"/>
      <c r="PMO2" s="235"/>
      <c r="PMP2" s="235"/>
      <c r="PMQ2" s="235"/>
      <c r="PMR2" s="235"/>
      <c r="PMS2" s="235"/>
      <c r="PMT2" s="235"/>
      <c r="PMU2" s="235"/>
      <c r="PMV2" s="235"/>
      <c r="PMW2" s="235"/>
      <c r="PMX2" s="235"/>
      <c r="PMY2" s="235"/>
      <c r="PMZ2" s="235"/>
      <c r="PNA2" s="235"/>
      <c r="PNB2" s="235"/>
      <c r="PNC2" s="235"/>
      <c r="PND2" s="235"/>
      <c r="PNE2" s="235"/>
      <c r="PNF2" s="235"/>
      <c r="PNG2" s="235"/>
      <c r="PNH2" s="235"/>
      <c r="PNI2" s="235"/>
      <c r="PNJ2" s="235"/>
      <c r="PNK2" s="235"/>
      <c r="PNL2" s="235"/>
      <c r="PNM2" s="235"/>
      <c r="PNN2" s="235"/>
      <c r="PNO2" s="235"/>
      <c r="PNP2" s="235"/>
      <c r="PNQ2" s="235"/>
      <c r="PNR2" s="235"/>
      <c r="PNS2" s="235"/>
      <c r="PNT2" s="235"/>
      <c r="PNU2" s="235"/>
      <c r="PNV2" s="235"/>
      <c r="PNW2" s="235"/>
      <c r="PNX2" s="235"/>
      <c r="PNY2" s="235"/>
      <c r="PNZ2" s="235"/>
      <c r="POA2" s="235"/>
      <c r="POB2" s="235"/>
      <c r="POC2" s="235"/>
      <c r="POD2" s="235"/>
      <c r="POE2" s="235"/>
      <c r="POF2" s="235"/>
      <c r="POG2" s="235"/>
      <c r="POH2" s="235"/>
      <c r="POI2" s="235"/>
      <c r="POJ2" s="235"/>
      <c r="POK2" s="235"/>
      <c r="POL2" s="235"/>
      <c r="POM2" s="235"/>
      <c r="PON2" s="235"/>
      <c r="POO2" s="235"/>
      <c r="POP2" s="235"/>
      <c r="POQ2" s="235"/>
      <c r="POR2" s="235"/>
      <c r="POS2" s="235"/>
      <c r="POT2" s="235"/>
      <c r="POU2" s="235"/>
      <c r="POV2" s="235"/>
      <c r="POW2" s="235"/>
      <c r="POX2" s="235"/>
      <c r="POY2" s="235"/>
      <c r="POZ2" s="235"/>
      <c r="PPA2" s="235"/>
      <c r="PPB2" s="235"/>
      <c r="PPC2" s="235"/>
      <c r="PPD2" s="235"/>
      <c r="PPE2" s="235"/>
      <c r="PPF2" s="235"/>
      <c r="PPG2" s="235"/>
      <c r="PPH2" s="235"/>
      <c r="PPI2" s="235"/>
      <c r="PPJ2" s="235"/>
      <c r="PPK2" s="235"/>
      <c r="PPL2" s="235"/>
      <c r="PPM2" s="235"/>
      <c r="PPN2" s="235"/>
      <c r="PPO2" s="235"/>
      <c r="PPP2" s="235"/>
      <c r="PPQ2" s="235"/>
      <c r="PPR2" s="235"/>
      <c r="PPS2" s="235"/>
      <c r="PPT2" s="235"/>
      <c r="PPU2" s="235"/>
      <c r="PPV2" s="235"/>
      <c r="PPW2" s="235"/>
      <c r="PPX2" s="235"/>
      <c r="PPY2" s="235"/>
      <c r="PPZ2" s="235"/>
      <c r="PQA2" s="235"/>
      <c r="PQB2" s="235"/>
      <c r="PQC2" s="235"/>
      <c r="PQD2" s="235"/>
      <c r="PQE2" s="235"/>
      <c r="PQF2" s="235"/>
      <c r="PQG2" s="235"/>
      <c r="PQH2" s="235"/>
      <c r="PQI2" s="235"/>
      <c r="PQJ2" s="235"/>
      <c r="PQK2" s="235"/>
      <c r="PQL2" s="235"/>
      <c r="PQM2" s="235"/>
      <c r="PQN2" s="235"/>
      <c r="PQO2" s="235"/>
      <c r="PQP2" s="235"/>
      <c r="PQQ2" s="235"/>
      <c r="PQR2" s="235"/>
      <c r="PQS2" s="235"/>
      <c r="PQT2" s="235"/>
      <c r="PQU2" s="235"/>
      <c r="PQV2" s="235"/>
      <c r="PQW2" s="235"/>
      <c r="PQX2" s="235"/>
      <c r="PQY2" s="235"/>
      <c r="PQZ2" s="235"/>
      <c r="PRA2" s="235"/>
      <c r="PRB2" s="235"/>
      <c r="PRC2" s="235"/>
      <c r="PRD2" s="235"/>
      <c r="PRE2" s="235"/>
      <c r="PRF2" s="235"/>
      <c r="PRG2" s="235"/>
      <c r="PRH2" s="235"/>
      <c r="PRI2" s="235"/>
      <c r="PRJ2" s="235"/>
      <c r="PRK2" s="235"/>
      <c r="PRL2" s="235"/>
      <c r="PRM2" s="235"/>
      <c r="PRN2" s="235"/>
      <c r="PRO2" s="235"/>
      <c r="PRP2" s="235"/>
      <c r="PRQ2" s="235"/>
      <c r="PRR2" s="235"/>
      <c r="PRS2" s="235"/>
      <c r="PRT2" s="235"/>
      <c r="PRU2" s="235"/>
      <c r="PRV2" s="235"/>
      <c r="PRW2" s="235"/>
      <c r="PRX2" s="235"/>
      <c r="PRY2" s="235"/>
      <c r="PRZ2" s="235"/>
      <c r="PSA2" s="235"/>
      <c r="PSB2" s="235"/>
      <c r="PSC2" s="235"/>
      <c r="PSD2" s="235"/>
      <c r="PSE2" s="235"/>
      <c r="PSF2" s="235"/>
      <c r="PSG2" s="235"/>
      <c r="PSH2" s="235"/>
      <c r="PSI2" s="235"/>
      <c r="PSJ2" s="235"/>
      <c r="PSK2" s="235"/>
      <c r="PSL2" s="235"/>
      <c r="PSM2" s="235"/>
      <c r="PSN2" s="235"/>
      <c r="PSO2" s="235"/>
      <c r="PSP2" s="235"/>
      <c r="PSQ2" s="235"/>
      <c r="PSR2" s="235"/>
      <c r="PSS2" s="235"/>
      <c r="PST2" s="235"/>
      <c r="PSU2" s="235"/>
      <c r="PSV2" s="235"/>
      <c r="PSW2" s="235"/>
      <c r="PSX2" s="235"/>
      <c r="PSY2" s="235"/>
      <c r="PSZ2" s="235"/>
      <c r="PTA2" s="235"/>
      <c r="PTB2" s="235"/>
      <c r="PTC2" s="235"/>
      <c r="PTD2" s="235"/>
      <c r="PTE2" s="235"/>
      <c r="PTF2" s="235"/>
      <c r="PTG2" s="235"/>
      <c r="PTH2" s="235"/>
      <c r="PTI2" s="235"/>
      <c r="PTJ2" s="235"/>
      <c r="PTK2" s="235"/>
      <c r="PTL2" s="235"/>
      <c r="PTM2" s="235"/>
      <c r="PTN2" s="235"/>
      <c r="PTO2" s="235"/>
      <c r="PTP2" s="235"/>
      <c r="PTQ2" s="235"/>
      <c r="PTR2" s="235"/>
      <c r="PTS2" s="235"/>
      <c r="PTT2" s="235"/>
      <c r="PTU2" s="235"/>
      <c r="PTV2" s="235"/>
      <c r="PTW2" s="235"/>
      <c r="PTX2" s="235"/>
      <c r="PTY2" s="235"/>
      <c r="PTZ2" s="235"/>
      <c r="PUA2" s="235"/>
      <c r="PUB2" s="235"/>
      <c r="PUC2" s="235"/>
      <c r="PUD2" s="235"/>
      <c r="PUE2" s="235"/>
      <c r="PUF2" s="235"/>
      <c r="PUG2" s="235"/>
      <c r="PUH2" s="235"/>
      <c r="PUI2" s="235"/>
      <c r="PUJ2" s="235"/>
      <c r="PUK2" s="235"/>
      <c r="PUL2" s="235"/>
      <c r="PUM2" s="235"/>
      <c r="PUN2" s="235"/>
      <c r="PUO2" s="235"/>
      <c r="PUP2" s="235"/>
      <c r="PUQ2" s="235"/>
      <c r="PUR2" s="235"/>
      <c r="PUS2" s="235"/>
      <c r="PUT2" s="235"/>
      <c r="PUU2" s="235"/>
      <c r="PUV2" s="235"/>
      <c r="PUW2" s="235"/>
      <c r="PUX2" s="235"/>
      <c r="PUY2" s="235"/>
      <c r="PUZ2" s="235"/>
      <c r="PVA2" s="235"/>
      <c r="PVB2" s="235"/>
      <c r="PVC2" s="235"/>
      <c r="PVD2" s="235"/>
      <c r="PVE2" s="235"/>
      <c r="PVF2" s="235"/>
      <c r="PVG2" s="235"/>
      <c r="PVH2" s="235"/>
      <c r="PVI2" s="235"/>
      <c r="PVJ2" s="235"/>
      <c r="PVK2" s="235"/>
      <c r="PVL2" s="235"/>
      <c r="PVM2" s="235"/>
      <c r="PVN2" s="235"/>
      <c r="PVO2" s="235"/>
      <c r="PVP2" s="235"/>
      <c r="PVQ2" s="235"/>
      <c r="PVR2" s="235"/>
      <c r="PVS2" s="235"/>
      <c r="PVT2" s="235"/>
      <c r="PVU2" s="235"/>
      <c r="PVV2" s="235"/>
      <c r="PVW2" s="235"/>
      <c r="PVX2" s="235"/>
      <c r="PVY2" s="235"/>
      <c r="PVZ2" s="235"/>
      <c r="PWA2" s="235"/>
      <c r="PWB2" s="235"/>
      <c r="PWC2" s="235"/>
      <c r="PWD2" s="235"/>
      <c r="PWE2" s="235"/>
      <c r="PWF2" s="235"/>
      <c r="PWG2" s="235"/>
      <c r="PWH2" s="235"/>
      <c r="PWI2" s="235"/>
      <c r="PWJ2" s="235"/>
      <c r="PWK2" s="235"/>
      <c r="PWL2" s="235"/>
      <c r="PWM2" s="235"/>
      <c r="PWN2" s="235"/>
      <c r="PWO2" s="235"/>
      <c r="PWP2" s="235"/>
      <c r="PWQ2" s="235"/>
      <c r="PWR2" s="235"/>
      <c r="PWS2" s="235"/>
      <c r="PWT2" s="235"/>
      <c r="PWU2" s="235"/>
      <c r="PWV2" s="235"/>
      <c r="PWW2" s="235"/>
      <c r="PWX2" s="235"/>
      <c r="PWY2" s="235"/>
      <c r="PWZ2" s="235"/>
      <c r="PXA2" s="235"/>
      <c r="PXB2" s="235"/>
      <c r="PXC2" s="235"/>
      <c r="PXD2" s="235"/>
      <c r="PXE2" s="235"/>
      <c r="PXF2" s="235"/>
      <c r="PXG2" s="235"/>
      <c r="PXH2" s="235"/>
      <c r="PXI2" s="235"/>
      <c r="PXJ2" s="235"/>
      <c r="PXK2" s="235"/>
      <c r="PXL2" s="235"/>
      <c r="PXM2" s="235"/>
      <c r="PXN2" s="235"/>
      <c r="PXO2" s="235"/>
      <c r="PXP2" s="235"/>
      <c r="PXQ2" s="235"/>
      <c r="PXR2" s="235"/>
      <c r="PXS2" s="235"/>
      <c r="PXT2" s="235"/>
      <c r="PXU2" s="235"/>
      <c r="PXV2" s="235"/>
      <c r="PXW2" s="235"/>
      <c r="PXX2" s="235"/>
      <c r="PXY2" s="235"/>
      <c r="PXZ2" s="235"/>
      <c r="PYA2" s="235"/>
      <c r="PYB2" s="235"/>
      <c r="PYC2" s="235"/>
      <c r="PYD2" s="235"/>
      <c r="PYE2" s="235"/>
      <c r="PYF2" s="235"/>
      <c r="PYG2" s="235"/>
      <c r="PYH2" s="235"/>
      <c r="PYI2" s="235"/>
      <c r="PYJ2" s="235"/>
      <c r="PYK2" s="235"/>
      <c r="PYL2" s="235"/>
      <c r="PYM2" s="235"/>
      <c r="PYN2" s="235"/>
      <c r="PYO2" s="235"/>
      <c r="PYP2" s="235"/>
      <c r="PYQ2" s="235"/>
      <c r="PYR2" s="235"/>
      <c r="PYS2" s="235"/>
      <c r="PYT2" s="235"/>
      <c r="PYU2" s="235"/>
      <c r="PYV2" s="235"/>
      <c r="PYW2" s="235"/>
      <c r="PYX2" s="235"/>
      <c r="PYY2" s="235"/>
      <c r="PYZ2" s="235"/>
      <c r="PZA2" s="235"/>
      <c r="PZB2" s="235"/>
      <c r="PZC2" s="235"/>
      <c r="PZD2" s="235"/>
      <c r="PZE2" s="235"/>
      <c r="PZF2" s="235"/>
      <c r="PZG2" s="235"/>
      <c r="PZH2" s="235"/>
      <c r="PZI2" s="235"/>
      <c r="PZJ2" s="235"/>
      <c r="PZK2" s="235"/>
      <c r="PZL2" s="235"/>
      <c r="PZM2" s="235"/>
      <c r="PZN2" s="235"/>
      <c r="PZO2" s="235"/>
      <c r="PZP2" s="235"/>
      <c r="PZQ2" s="235"/>
      <c r="PZR2" s="235"/>
      <c r="PZS2" s="235"/>
      <c r="PZT2" s="235"/>
      <c r="PZU2" s="235"/>
      <c r="PZV2" s="235"/>
      <c r="PZW2" s="235"/>
      <c r="PZX2" s="235"/>
      <c r="PZY2" s="235"/>
      <c r="PZZ2" s="235"/>
      <c r="QAA2" s="235"/>
      <c r="QAB2" s="235"/>
      <c r="QAC2" s="235"/>
      <c r="QAD2" s="235"/>
      <c r="QAE2" s="235"/>
      <c r="QAF2" s="235"/>
      <c r="QAG2" s="235"/>
      <c r="QAH2" s="235"/>
      <c r="QAI2" s="235"/>
      <c r="QAJ2" s="235"/>
      <c r="QAK2" s="235"/>
      <c r="QAL2" s="235"/>
      <c r="QAM2" s="235"/>
      <c r="QAN2" s="235"/>
      <c r="QAO2" s="235"/>
      <c r="QAP2" s="235"/>
      <c r="QAQ2" s="235"/>
      <c r="QAR2" s="235"/>
      <c r="QAS2" s="235"/>
      <c r="QAT2" s="235"/>
      <c r="QAU2" s="235"/>
      <c r="QAV2" s="235"/>
      <c r="QAW2" s="235"/>
      <c r="QAX2" s="235"/>
      <c r="QAY2" s="235"/>
      <c r="QAZ2" s="235"/>
      <c r="QBA2" s="235"/>
      <c r="QBB2" s="235"/>
      <c r="QBC2" s="235"/>
      <c r="QBD2" s="235"/>
      <c r="QBE2" s="235"/>
      <c r="QBF2" s="235"/>
      <c r="QBG2" s="235"/>
      <c r="QBH2" s="235"/>
      <c r="QBI2" s="235"/>
      <c r="QBJ2" s="235"/>
      <c r="QBK2" s="235"/>
      <c r="QBL2" s="235"/>
      <c r="QBM2" s="235"/>
      <c r="QBN2" s="235"/>
      <c r="QBO2" s="235"/>
      <c r="QBP2" s="235"/>
      <c r="QBQ2" s="235"/>
      <c r="QBR2" s="235"/>
      <c r="QBS2" s="235"/>
      <c r="QBT2" s="235"/>
      <c r="QBU2" s="235"/>
      <c r="QBV2" s="235"/>
      <c r="QBW2" s="235"/>
      <c r="QBX2" s="235"/>
      <c r="QBY2" s="235"/>
      <c r="QBZ2" s="235"/>
      <c r="QCA2" s="235"/>
      <c r="QCB2" s="235"/>
      <c r="QCC2" s="235"/>
      <c r="QCD2" s="235"/>
      <c r="QCE2" s="235"/>
      <c r="QCF2" s="235"/>
      <c r="QCG2" s="235"/>
      <c r="QCH2" s="235"/>
      <c r="QCI2" s="235"/>
      <c r="QCJ2" s="235"/>
      <c r="QCK2" s="235"/>
      <c r="QCL2" s="235"/>
      <c r="QCM2" s="235"/>
      <c r="QCN2" s="235"/>
      <c r="QCO2" s="235"/>
      <c r="QCP2" s="235"/>
      <c r="QCQ2" s="235"/>
      <c r="QCR2" s="235"/>
      <c r="QCS2" s="235"/>
      <c r="QCT2" s="235"/>
      <c r="QCU2" s="235"/>
      <c r="QCV2" s="235"/>
      <c r="QCW2" s="235"/>
      <c r="QCX2" s="235"/>
      <c r="QCY2" s="235"/>
      <c r="QCZ2" s="235"/>
      <c r="QDA2" s="235"/>
      <c r="QDB2" s="235"/>
      <c r="QDC2" s="235"/>
      <c r="QDD2" s="235"/>
      <c r="QDE2" s="235"/>
      <c r="QDF2" s="235"/>
      <c r="QDG2" s="235"/>
      <c r="QDH2" s="235"/>
      <c r="QDI2" s="235"/>
      <c r="QDJ2" s="235"/>
      <c r="QDK2" s="235"/>
      <c r="QDL2" s="235"/>
      <c r="QDM2" s="235"/>
      <c r="QDN2" s="235"/>
      <c r="QDO2" s="235"/>
      <c r="QDP2" s="235"/>
      <c r="QDQ2" s="235"/>
      <c r="QDR2" s="235"/>
      <c r="QDS2" s="235"/>
      <c r="QDT2" s="235"/>
      <c r="QDU2" s="235"/>
      <c r="QDV2" s="235"/>
      <c r="QDW2" s="235"/>
      <c r="QDX2" s="235"/>
      <c r="QDY2" s="235"/>
      <c r="QDZ2" s="235"/>
      <c r="QEA2" s="235"/>
      <c r="QEB2" s="235"/>
      <c r="QEC2" s="235"/>
      <c r="QED2" s="235"/>
      <c r="QEE2" s="235"/>
      <c r="QEF2" s="235"/>
      <c r="QEG2" s="235"/>
      <c r="QEH2" s="235"/>
      <c r="QEI2" s="235"/>
      <c r="QEJ2" s="235"/>
      <c r="QEK2" s="235"/>
      <c r="QEL2" s="235"/>
      <c r="QEM2" s="235"/>
      <c r="QEN2" s="235"/>
      <c r="QEO2" s="235"/>
      <c r="QEP2" s="235"/>
      <c r="QEQ2" s="235"/>
      <c r="QER2" s="235"/>
      <c r="QES2" s="235"/>
      <c r="QET2" s="235"/>
      <c r="QEU2" s="235"/>
      <c r="QEV2" s="235"/>
      <c r="QEW2" s="235"/>
      <c r="QEX2" s="235"/>
      <c r="QEY2" s="235"/>
      <c r="QEZ2" s="235"/>
      <c r="QFA2" s="235"/>
      <c r="QFB2" s="235"/>
      <c r="QFC2" s="235"/>
      <c r="QFD2" s="235"/>
      <c r="QFE2" s="235"/>
      <c r="QFF2" s="235"/>
      <c r="QFG2" s="235"/>
      <c r="QFH2" s="235"/>
      <c r="QFI2" s="235"/>
      <c r="QFJ2" s="235"/>
      <c r="QFK2" s="235"/>
      <c r="QFL2" s="235"/>
      <c r="QFM2" s="235"/>
      <c r="QFN2" s="235"/>
      <c r="QFO2" s="235"/>
      <c r="QFP2" s="235"/>
      <c r="QFQ2" s="235"/>
      <c r="QFR2" s="235"/>
      <c r="QFS2" s="235"/>
      <c r="QFT2" s="235"/>
      <c r="QFU2" s="235"/>
      <c r="QFV2" s="235"/>
      <c r="QFW2" s="235"/>
      <c r="QFX2" s="235"/>
      <c r="QFY2" s="235"/>
      <c r="QFZ2" s="235"/>
      <c r="QGA2" s="235"/>
      <c r="QGB2" s="235"/>
      <c r="QGC2" s="235"/>
      <c r="QGD2" s="235"/>
      <c r="QGE2" s="235"/>
      <c r="QGF2" s="235"/>
      <c r="QGG2" s="235"/>
      <c r="QGH2" s="235"/>
      <c r="QGI2" s="235"/>
      <c r="QGJ2" s="235"/>
      <c r="QGK2" s="235"/>
      <c r="QGL2" s="235"/>
      <c r="QGM2" s="235"/>
      <c r="QGN2" s="235"/>
      <c r="QGO2" s="235"/>
      <c r="QGP2" s="235"/>
      <c r="QGQ2" s="235"/>
      <c r="QGR2" s="235"/>
      <c r="QGS2" s="235"/>
      <c r="QGT2" s="235"/>
      <c r="QGU2" s="235"/>
      <c r="QGV2" s="235"/>
      <c r="QGW2" s="235"/>
      <c r="QGX2" s="235"/>
      <c r="QGY2" s="235"/>
      <c r="QGZ2" s="235"/>
      <c r="QHA2" s="235"/>
      <c r="QHB2" s="235"/>
      <c r="QHC2" s="235"/>
      <c r="QHD2" s="235"/>
      <c r="QHE2" s="235"/>
      <c r="QHF2" s="235"/>
      <c r="QHG2" s="235"/>
      <c r="QHH2" s="235"/>
      <c r="QHI2" s="235"/>
      <c r="QHJ2" s="235"/>
      <c r="QHK2" s="235"/>
      <c r="QHL2" s="235"/>
      <c r="QHM2" s="235"/>
      <c r="QHN2" s="235"/>
      <c r="QHO2" s="235"/>
      <c r="QHP2" s="235"/>
      <c r="QHQ2" s="235"/>
      <c r="QHR2" s="235"/>
      <c r="QHS2" s="235"/>
      <c r="QHT2" s="235"/>
      <c r="QHU2" s="235"/>
      <c r="QHV2" s="235"/>
      <c r="QHW2" s="235"/>
      <c r="QHX2" s="235"/>
      <c r="QHY2" s="235"/>
      <c r="QHZ2" s="235"/>
      <c r="QIA2" s="235"/>
      <c r="QIB2" s="235"/>
      <c r="QIC2" s="235"/>
      <c r="QID2" s="235"/>
      <c r="QIE2" s="235"/>
      <c r="QIF2" s="235"/>
      <c r="QIG2" s="235"/>
      <c r="QIH2" s="235"/>
      <c r="QII2" s="235"/>
      <c r="QIJ2" s="235"/>
      <c r="QIK2" s="235"/>
      <c r="QIL2" s="235"/>
      <c r="QIM2" s="235"/>
      <c r="QIN2" s="235"/>
      <c r="QIO2" s="235"/>
      <c r="QIP2" s="235"/>
      <c r="QIQ2" s="235"/>
      <c r="QIR2" s="235"/>
      <c r="QIS2" s="235"/>
      <c r="QIT2" s="235"/>
      <c r="QIU2" s="235"/>
      <c r="QIV2" s="235"/>
      <c r="QIW2" s="235"/>
      <c r="QIX2" s="235"/>
      <c r="QIY2" s="235"/>
      <c r="QIZ2" s="235"/>
      <c r="QJA2" s="235"/>
      <c r="QJB2" s="235"/>
      <c r="QJC2" s="235"/>
      <c r="QJD2" s="235"/>
      <c r="QJE2" s="235"/>
      <c r="QJF2" s="235"/>
      <c r="QJG2" s="235"/>
      <c r="QJH2" s="235"/>
      <c r="QJI2" s="235"/>
      <c r="QJJ2" s="235"/>
      <c r="QJK2" s="235"/>
      <c r="QJL2" s="235"/>
      <c r="QJM2" s="235"/>
      <c r="QJN2" s="235"/>
      <c r="QJO2" s="235"/>
      <c r="QJP2" s="235"/>
      <c r="QJQ2" s="235"/>
      <c r="QJR2" s="235"/>
      <c r="QJS2" s="235"/>
      <c r="QJT2" s="235"/>
      <c r="QJU2" s="235"/>
      <c r="QJV2" s="235"/>
      <c r="QJW2" s="235"/>
      <c r="QJX2" s="235"/>
      <c r="QJY2" s="235"/>
      <c r="QJZ2" s="235"/>
      <c r="QKA2" s="235"/>
      <c r="QKB2" s="235"/>
      <c r="QKC2" s="235"/>
      <c r="QKD2" s="235"/>
      <c r="QKE2" s="235"/>
      <c r="QKF2" s="235"/>
      <c r="QKG2" s="235"/>
      <c r="QKH2" s="235"/>
      <c r="QKI2" s="235"/>
      <c r="QKJ2" s="235"/>
      <c r="QKK2" s="235"/>
      <c r="QKL2" s="235"/>
      <c r="QKM2" s="235"/>
      <c r="QKN2" s="235"/>
      <c r="QKO2" s="235"/>
      <c r="QKP2" s="235"/>
      <c r="QKQ2" s="235"/>
      <c r="QKR2" s="235"/>
      <c r="QKS2" s="235"/>
      <c r="QKT2" s="235"/>
      <c r="QKU2" s="235"/>
      <c r="QKV2" s="235"/>
      <c r="QKW2" s="235"/>
      <c r="QKX2" s="235"/>
      <c r="QKY2" s="235"/>
      <c r="QKZ2" s="235"/>
      <c r="QLA2" s="235"/>
      <c r="QLB2" s="235"/>
      <c r="QLC2" s="235"/>
      <c r="QLD2" s="235"/>
      <c r="QLE2" s="235"/>
      <c r="QLF2" s="235"/>
      <c r="QLG2" s="235"/>
      <c r="QLH2" s="235"/>
      <c r="QLI2" s="235"/>
      <c r="QLJ2" s="235"/>
      <c r="QLK2" s="235"/>
      <c r="QLL2" s="235"/>
      <c r="QLM2" s="235"/>
      <c r="QLN2" s="235"/>
      <c r="QLO2" s="235"/>
      <c r="QLP2" s="235"/>
      <c r="QLQ2" s="235"/>
      <c r="QLR2" s="235"/>
      <c r="QLS2" s="235"/>
      <c r="QLT2" s="235"/>
      <c r="QLU2" s="235"/>
      <c r="QLV2" s="235"/>
      <c r="QLW2" s="235"/>
      <c r="QLX2" s="235"/>
      <c r="QLY2" s="235"/>
      <c r="QLZ2" s="235"/>
      <c r="QMA2" s="235"/>
      <c r="QMB2" s="235"/>
      <c r="QMC2" s="235"/>
      <c r="QMD2" s="235"/>
      <c r="QME2" s="235"/>
      <c r="QMF2" s="235"/>
      <c r="QMG2" s="235"/>
      <c r="QMH2" s="235"/>
      <c r="QMI2" s="235"/>
      <c r="QMJ2" s="235"/>
      <c r="QMK2" s="235"/>
      <c r="QML2" s="235"/>
      <c r="QMM2" s="235"/>
      <c r="QMN2" s="235"/>
      <c r="QMO2" s="235"/>
      <c r="QMP2" s="235"/>
      <c r="QMQ2" s="235"/>
      <c r="QMR2" s="235"/>
      <c r="QMS2" s="235"/>
      <c r="QMT2" s="235"/>
      <c r="QMU2" s="235"/>
      <c r="QMV2" s="235"/>
      <c r="QMW2" s="235"/>
      <c r="QMX2" s="235"/>
      <c r="QMY2" s="235"/>
      <c r="QMZ2" s="235"/>
      <c r="QNA2" s="235"/>
      <c r="QNB2" s="235"/>
      <c r="QNC2" s="235"/>
      <c r="QND2" s="235"/>
      <c r="QNE2" s="235"/>
      <c r="QNF2" s="235"/>
      <c r="QNG2" s="235"/>
      <c r="QNH2" s="235"/>
      <c r="QNI2" s="235"/>
      <c r="QNJ2" s="235"/>
      <c r="QNK2" s="235"/>
      <c r="QNL2" s="235"/>
      <c r="QNM2" s="235"/>
      <c r="QNN2" s="235"/>
      <c r="QNO2" s="235"/>
      <c r="QNP2" s="235"/>
      <c r="QNQ2" s="235"/>
      <c r="QNR2" s="235"/>
      <c r="QNS2" s="235"/>
      <c r="QNT2" s="235"/>
      <c r="QNU2" s="235"/>
      <c r="QNV2" s="235"/>
      <c r="QNW2" s="235"/>
      <c r="QNX2" s="235"/>
      <c r="QNY2" s="235"/>
      <c r="QNZ2" s="235"/>
      <c r="QOA2" s="235"/>
      <c r="QOB2" s="235"/>
      <c r="QOC2" s="235"/>
      <c r="QOD2" s="235"/>
      <c r="QOE2" s="235"/>
      <c r="QOF2" s="235"/>
      <c r="QOG2" s="235"/>
      <c r="QOH2" s="235"/>
      <c r="QOI2" s="235"/>
      <c r="QOJ2" s="235"/>
      <c r="QOK2" s="235"/>
      <c r="QOL2" s="235"/>
      <c r="QOM2" s="235"/>
      <c r="QON2" s="235"/>
      <c r="QOO2" s="235"/>
      <c r="QOP2" s="235"/>
      <c r="QOQ2" s="235"/>
      <c r="QOR2" s="235"/>
      <c r="QOS2" s="235"/>
      <c r="QOT2" s="235"/>
      <c r="QOU2" s="235"/>
      <c r="QOV2" s="235"/>
      <c r="QOW2" s="235"/>
      <c r="QOX2" s="235"/>
      <c r="QOY2" s="235"/>
      <c r="QOZ2" s="235"/>
      <c r="QPA2" s="235"/>
      <c r="QPB2" s="235"/>
      <c r="QPC2" s="235"/>
      <c r="QPD2" s="235"/>
      <c r="QPE2" s="235"/>
      <c r="QPF2" s="235"/>
      <c r="QPG2" s="235"/>
      <c r="QPH2" s="235"/>
      <c r="QPI2" s="235"/>
      <c r="QPJ2" s="235"/>
      <c r="QPK2" s="235"/>
      <c r="QPL2" s="235"/>
      <c r="QPM2" s="235"/>
      <c r="QPN2" s="235"/>
      <c r="QPO2" s="235"/>
      <c r="QPP2" s="235"/>
      <c r="QPQ2" s="235"/>
      <c r="QPR2" s="235"/>
      <c r="QPS2" s="235"/>
      <c r="QPT2" s="235"/>
      <c r="QPU2" s="235"/>
      <c r="QPV2" s="235"/>
      <c r="QPW2" s="235"/>
      <c r="QPX2" s="235"/>
      <c r="QPY2" s="235"/>
      <c r="QPZ2" s="235"/>
      <c r="QQA2" s="235"/>
      <c r="QQB2" s="235"/>
      <c r="QQC2" s="235"/>
      <c r="QQD2" s="235"/>
      <c r="QQE2" s="235"/>
      <c r="QQF2" s="235"/>
      <c r="QQG2" s="235"/>
      <c r="QQH2" s="235"/>
      <c r="QQI2" s="235"/>
      <c r="QQJ2" s="235"/>
      <c r="QQK2" s="235"/>
      <c r="QQL2" s="235"/>
      <c r="QQM2" s="235"/>
      <c r="QQN2" s="235"/>
      <c r="QQO2" s="235"/>
      <c r="QQP2" s="235"/>
      <c r="QQQ2" s="235"/>
      <c r="QQR2" s="235"/>
      <c r="QQS2" s="235"/>
      <c r="QQT2" s="235"/>
      <c r="QQU2" s="235"/>
      <c r="QQV2" s="235"/>
      <c r="QQW2" s="235"/>
      <c r="QQX2" s="235"/>
      <c r="QQY2" s="235"/>
      <c r="QQZ2" s="235"/>
      <c r="QRA2" s="235"/>
      <c r="QRB2" s="235"/>
      <c r="QRC2" s="235"/>
      <c r="QRD2" s="235"/>
      <c r="QRE2" s="235"/>
      <c r="QRF2" s="235"/>
      <c r="QRG2" s="235"/>
      <c r="QRH2" s="235"/>
      <c r="QRI2" s="235"/>
      <c r="QRJ2" s="235"/>
      <c r="QRK2" s="235"/>
      <c r="QRL2" s="235"/>
      <c r="QRM2" s="235"/>
      <c r="QRN2" s="235"/>
      <c r="QRO2" s="235"/>
      <c r="QRP2" s="235"/>
      <c r="QRQ2" s="235"/>
      <c r="QRR2" s="235"/>
      <c r="QRS2" s="235"/>
      <c r="QRT2" s="235"/>
      <c r="QRU2" s="235"/>
      <c r="QRV2" s="235"/>
      <c r="QRW2" s="235"/>
      <c r="QRX2" s="235"/>
      <c r="QRY2" s="235"/>
      <c r="QRZ2" s="235"/>
      <c r="QSA2" s="235"/>
      <c r="QSB2" s="235"/>
      <c r="QSC2" s="235"/>
      <c r="QSD2" s="235"/>
      <c r="QSE2" s="235"/>
      <c r="QSF2" s="235"/>
      <c r="QSG2" s="235"/>
      <c r="QSH2" s="235"/>
      <c r="QSI2" s="235"/>
      <c r="QSJ2" s="235"/>
      <c r="QSK2" s="235"/>
      <c r="QSL2" s="235"/>
      <c r="QSM2" s="235"/>
      <c r="QSN2" s="235"/>
      <c r="QSO2" s="235"/>
      <c r="QSP2" s="235"/>
      <c r="QSQ2" s="235"/>
      <c r="QSR2" s="235"/>
      <c r="QSS2" s="235"/>
      <c r="QST2" s="235"/>
      <c r="QSU2" s="235"/>
      <c r="QSV2" s="235"/>
      <c r="QSW2" s="235"/>
      <c r="QSX2" s="235"/>
      <c r="QSY2" s="235"/>
      <c r="QSZ2" s="235"/>
      <c r="QTA2" s="235"/>
      <c r="QTB2" s="235"/>
      <c r="QTC2" s="235"/>
      <c r="QTD2" s="235"/>
      <c r="QTE2" s="235"/>
      <c r="QTF2" s="235"/>
      <c r="QTG2" s="235"/>
      <c r="QTH2" s="235"/>
      <c r="QTI2" s="235"/>
      <c r="QTJ2" s="235"/>
      <c r="QTK2" s="235"/>
      <c r="QTL2" s="235"/>
      <c r="QTM2" s="235"/>
      <c r="QTN2" s="235"/>
      <c r="QTO2" s="235"/>
      <c r="QTP2" s="235"/>
      <c r="QTQ2" s="235"/>
      <c r="QTR2" s="235"/>
      <c r="QTS2" s="235"/>
      <c r="QTT2" s="235"/>
      <c r="QTU2" s="235"/>
      <c r="QTV2" s="235"/>
      <c r="QTW2" s="235"/>
      <c r="QTX2" s="235"/>
      <c r="QTY2" s="235"/>
      <c r="QTZ2" s="235"/>
      <c r="QUA2" s="235"/>
      <c r="QUB2" s="235"/>
      <c r="QUC2" s="235"/>
      <c r="QUD2" s="235"/>
      <c r="QUE2" s="235"/>
      <c r="QUF2" s="235"/>
      <c r="QUG2" s="235"/>
      <c r="QUH2" s="235"/>
      <c r="QUI2" s="235"/>
      <c r="QUJ2" s="235"/>
      <c r="QUK2" s="235"/>
      <c r="QUL2" s="235"/>
      <c r="QUM2" s="235"/>
      <c r="QUN2" s="235"/>
      <c r="QUO2" s="235"/>
      <c r="QUP2" s="235"/>
      <c r="QUQ2" s="235"/>
      <c r="QUR2" s="235"/>
      <c r="QUS2" s="235"/>
      <c r="QUT2" s="235"/>
      <c r="QUU2" s="235"/>
      <c r="QUV2" s="235"/>
      <c r="QUW2" s="235"/>
      <c r="QUX2" s="235"/>
      <c r="QUY2" s="235"/>
      <c r="QUZ2" s="235"/>
      <c r="QVA2" s="235"/>
      <c r="QVB2" s="235"/>
      <c r="QVC2" s="235"/>
      <c r="QVD2" s="235"/>
      <c r="QVE2" s="235"/>
      <c r="QVF2" s="235"/>
      <c r="QVG2" s="235"/>
      <c r="QVH2" s="235"/>
      <c r="QVI2" s="235"/>
      <c r="QVJ2" s="235"/>
      <c r="QVK2" s="235"/>
      <c r="QVL2" s="235"/>
      <c r="QVM2" s="235"/>
      <c r="QVN2" s="235"/>
      <c r="QVO2" s="235"/>
      <c r="QVP2" s="235"/>
      <c r="QVQ2" s="235"/>
      <c r="QVR2" s="235"/>
      <c r="QVS2" s="235"/>
      <c r="QVT2" s="235"/>
      <c r="QVU2" s="235"/>
      <c r="QVV2" s="235"/>
      <c r="QVW2" s="235"/>
      <c r="QVX2" s="235"/>
      <c r="QVY2" s="235"/>
      <c r="QVZ2" s="235"/>
      <c r="QWA2" s="235"/>
      <c r="QWB2" s="235"/>
      <c r="QWC2" s="235"/>
      <c r="QWD2" s="235"/>
      <c r="QWE2" s="235"/>
      <c r="QWF2" s="235"/>
      <c r="QWG2" s="235"/>
      <c r="QWH2" s="235"/>
      <c r="QWI2" s="235"/>
      <c r="QWJ2" s="235"/>
      <c r="QWK2" s="235"/>
      <c r="QWL2" s="235"/>
      <c r="QWM2" s="235"/>
      <c r="QWN2" s="235"/>
      <c r="QWO2" s="235"/>
      <c r="QWP2" s="235"/>
      <c r="QWQ2" s="235"/>
      <c r="QWR2" s="235"/>
      <c r="QWS2" s="235"/>
      <c r="QWT2" s="235"/>
      <c r="QWU2" s="235"/>
      <c r="QWV2" s="235"/>
      <c r="QWW2" s="235"/>
      <c r="QWX2" s="235"/>
      <c r="QWY2" s="235"/>
      <c r="QWZ2" s="235"/>
      <c r="QXA2" s="235"/>
      <c r="QXB2" s="235"/>
      <c r="QXC2" s="235"/>
      <c r="QXD2" s="235"/>
      <c r="QXE2" s="235"/>
      <c r="QXF2" s="235"/>
      <c r="QXG2" s="235"/>
      <c r="QXH2" s="235"/>
      <c r="QXI2" s="235"/>
      <c r="QXJ2" s="235"/>
      <c r="QXK2" s="235"/>
      <c r="QXL2" s="235"/>
      <c r="QXM2" s="235"/>
      <c r="QXN2" s="235"/>
      <c r="QXO2" s="235"/>
      <c r="QXP2" s="235"/>
      <c r="QXQ2" s="235"/>
      <c r="QXR2" s="235"/>
      <c r="QXS2" s="235"/>
      <c r="QXT2" s="235"/>
      <c r="QXU2" s="235"/>
      <c r="QXV2" s="235"/>
      <c r="QXW2" s="235"/>
      <c r="QXX2" s="235"/>
      <c r="QXY2" s="235"/>
      <c r="QXZ2" s="235"/>
      <c r="QYA2" s="235"/>
      <c r="QYB2" s="235"/>
      <c r="QYC2" s="235"/>
      <c r="QYD2" s="235"/>
      <c r="QYE2" s="235"/>
      <c r="QYF2" s="235"/>
      <c r="QYG2" s="235"/>
      <c r="QYH2" s="235"/>
      <c r="QYI2" s="235"/>
      <c r="QYJ2" s="235"/>
      <c r="QYK2" s="235"/>
      <c r="QYL2" s="235"/>
      <c r="QYM2" s="235"/>
      <c r="QYN2" s="235"/>
      <c r="QYO2" s="235"/>
      <c r="QYP2" s="235"/>
      <c r="QYQ2" s="235"/>
      <c r="QYR2" s="235"/>
      <c r="QYS2" s="235"/>
      <c r="QYT2" s="235"/>
      <c r="QYU2" s="235"/>
      <c r="QYV2" s="235"/>
      <c r="QYW2" s="235"/>
      <c r="QYX2" s="235"/>
      <c r="QYY2" s="235"/>
      <c r="QYZ2" s="235"/>
      <c r="QZA2" s="235"/>
      <c r="QZB2" s="235"/>
      <c r="QZC2" s="235"/>
      <c r="QZD2" s="235"/>
      <c r="QZE2" s="235"/>
      <c r="QZF2" s="235"/>
      <c r="QZG2" s="235"/>
      <c r="QZH2" s="235"/>
      <c r="QZI2" s="235"/>
      <c r="QZJ2" s="235"/>
      <c r="QZK2" s="235"/>
      <c r="QZL2" s="235"/>
      <c r="QZM2" s="235"/>
      <c r="QZN2" s="235"/>
      <c r="QZO2" s="235"/>
      <c r="QZP2" s="235"/>
      <c r="QZQ2" s="235"/>
      <c r="QZR2" s="235"/>
      <c r="QZS2" s="235"/>
      <c r="QZT2" s="235"/>
      <c r="QZU2" s="235"/>
      <c r="QZV2" s="235"/>
      <c r="QZW2" s="235"/>
      <c r="QZX2" s="235"/>
      <c r="QZY2" s="235"/>
      <c r="QZZ2" s="235"/>
      <c r="RAA2" s="235"/>
      <c r="RAB2" s="235"/>
      <c r="RAC2" s="235"/>
      <c r="RAD2" s="235"/>
      <c r="RAE2" s="235"/>
      <c r="RAF2" s="235"/>
      <c r="RAG2" s="235"/>
      <c r="RAH2" s="235"/>
      <c r="RAI2" s="235"/>
      <c r="RAJ2" s="235"/>
      <c r="RAK2" s="235"/>
      <c r="RAL2" s="235"/>
      <c r="RAM2" s="235"/>
      <c r="RAN2" s="235"/>
      <c r="RAO2" s="235"/>
      <c r="RAP2" s="235"/>
      <c r="RAQ2" s="235"/>
      <c r="RAR2" s="235"/>
      <c r="RAS2" s="235"/>
      <c r="RAT2" s="235"/>
      <c r="RAU2" s="235"/>
      <c r="RAV2" s="235"/>
      <c r="RAW2" s="235"/>
      <c r="RAX2" s="235"/>
      <c r="RAY2" s="235"/>
      <c r="RAZ2" s="235"/>
      <c r="RBA2" s="235"/>
      <c r="RBB2" s="235"/>
      <c r="RBC2" s="235"/>
      <c r="RBD2" s="235"/>
      <c r="RBE2" s="235"/>
      <c r="RBF2" s="235"/>
      <c r="RBG2" s="235"/>
      <c r="RBH2" s="235"/>
      <c r="RBI2" s="235"/>
      <c r="RBJ2" s="235"/>
      <c r="RBK2" s="235"/>
      <c r="RBL2" s="235"/>
      <c r="RBM2" s="235"/>
      <c r="RBN2" s="235"/>
      <c r="RBO2" s="235"/>
      <c r="RBP2" s="235"/>
      <c r="RBQ2" s="235"/>
      <c r="RBR2" s="235"/>
      <c r="RBS2" s="235"/>
      <c r="RBT2" s="235"/>
      <c r="RBU2" s="235"/>
      <c r="RBV2" s="235"/>
      <c r="RBW2" s="235"/>
      <c r="RBX2" s="235"/>
      <c r="RBY2" s="235"/>
      <c r="RBZ2" s="235"/>
      <c r="RCA2" s="235"/>
      <c r="RCB2" s="235"/>
      <c r="RCC2" s="235"/>
      <c r="RCD2" s="235"/>
      <c r="RCE2" s="235"/>
      <c r="RCF2" s="235"/>
      <c r="RCG2" s="235"/>
      <c r="RCH2" s="235"/>
      <c r="RCI2" s="235"/>
      <c r="RCJ2" s="235"/>
      <c r="RCK2" s="235"/>
      <c r="RCL2" s="235"/>
      <c r="RCM2" s="235"/>
      <c r="RCN2" s="235"/>
      <c r="RCO2" s="235"/>
      <c r="RCP2" s="235"/>
      <c r="RCQ2" s="235"/>
      <c r="RCR2" s="235"/>
      <c r="RCS2" s="235"/>
      <c r="RCT2" s="235"/>
      <c r="RCU2" s="235"/>
      <c r="RCV2" s="235"/>
      <c r="RCW2" s="235"/>
      <c r="RCX2" s="235"/>
      <c r="RCY2" s="235"/>
      <c r="RCZ2" s="235"/>
      <c r="RDA2" s="235"/>
      <c r="RDB2" s="235"/>
      <c r="RDC2" s="235"/>
      <c r="RDD2" s="235"/>
      <c r="RDE2" s="235"/>
      <c r="RDF2" s="235"/>
      <c r="RDG2" s="235"/>
      <c r="RDH2" s="235"/>
      <c r="RDI2" s="235"/>
      <c r="RDJ2" s="235"/>
      <c r="RDK2" s="235"/>
      <c r="RDL2" s="235"/>
      <c r="RDM2" s="235"/>
      <c r="RDN2" s="235"/>
      <c r="RDO2" s="235"/>
      <c r="RDP2" s="235"/>
      <c r="RDQ2" s="235"/>
      <c r="RDR2" s="235"/>
      <c r="RDS2" s="235"/>
      <c r="RDT2" s="235"/>
      <c r="RDU2" s="235"/>
      <c r="RDV2" s="235"/>
      <c r="RDW2" s="235"/>
      <c r="RDX2" s="235"/>
      <c r="RDY2" s="235"/>
      <c r="RDZ2" s="235"/>
      <c r="REA2" s="235"/>
      <c r="REB2" s="235"/>
      <c r="REC2" s="235"/>
      <c r="RED2" s="235"/>
      <c r="REE2" s="235"/>
      <c r="REF2" s="235"/>
      <c r="REG2" s="235"/>
      <c r="REH2" s="235"/>
      <c r="REI2" s="235"/>
      <c r="REJ2" s="235"/>
      <c r="REK2" s="235"/>
      <c r="REL2" s="235"/>
      <c r="REM2" s="235"/>
      <c r="REN2" s="235"/>
      <c r="REO2" s="235"/>
      <c r="REP2" s="235"/>
      <c r="REQ2" s="235"/>
      <c r="RER2" s="235"/>
      <c r="RES2" s="235"/>
      <c r="RET2" s="235"/>
      <c r="REU2" s="235"/>
      <c r="REV2" s="235"/>
      <c r="REW2" s="235"/>
      <c r="REX2" s="235"/>
      <c r="REY2" s="235"/>
      <c r="REZ2" s="235"/>
      <c r="RFA2" s="235"/>
      <c r="RFB2" s="235"/>
      <c r="RFC2" s="235"/>
      <c r="RFD2" s="235"/>
      <c r="RFE2" s="235"/>
      <c r="RFF2" s="235"/>
      <c r="RFG2" s="235"/>
      <c r="RFH2" s="235"/>
      <c r="RFI2" s="235"/>
      <c r="RFJ2" s="235"/>
      <c r="RFK2" s="235"/>
      <c r="RFL2" s="235"/>
      <c r="RFM2" s="235"/>
      <c r="RFN2" s="235"/>
      <c r="RFO2" s="235"/>
      <c r="RFP2" s="235"/>
      <c r="RFQ2" s="235"/>
      <c r="RFR2" s="235"/>
      <c r="RFS2" s="235"/>
      <c r="RFT2" s="235"/>
      <c r="RFU2" s="235"/>
      <c r="RFV2" s="235"/>
      <c r="RFW2" s="235"/>
      <c r="RFX2" s="235"/>
      <c r="RFY2" s="235"/>
      <c r="RFZ2" s="235"/>
      <c r="RGA2" s="235"/>
      <c r="RGB2" s="235"/>
      <c r="RGC2" s="235"/>
      <c r="RGD2" s="235"/>
      <c r="RGE2" s="235"/>
      <c r="RGF2" s="235"/>
      <c r="RGG2" s="235"/>
      <c r="RGH2" s="235"/>
      <c r="RGI2" s="235"/>
      <c r="RGJ2" s="235"/>
      <c r="RGK2" s="235"/>
      <c r="RGL2" s="235"/>
      <c r="RGM2" s="235"/>
      <c r="RGN2" s="235"/>
      <c r="RGO2" s="235"/>
      <c r="RGP2" s="235"/>
      <c r="RGQ2" s="235"/>
      <c r="RGR2" s="235"/>
      <c r="RGS2" s="235"/>
      <c r="RGT2" s="235"/>
      <c r="RGU2" s="235"/>
      <c r="RGV2" s="235"/>
      <c r="RGW2" s="235"/>
      <c r="RGX2" s="235"/>
      <c r="RGY2" s="235"/>
      <c r="RGZ2" s="235"/>
      <c r="RHA2" s="235"/>
      <c r="RHB2" s="235"/>
      <c r="RHC2" s="235"/>
      <c r="RHD2" s="235"/>
      <c r="RHE2" s="235"/>
      <c r="RHF2" s="235"/>
      <c r="RHG2" s="235"/>
      <c r="RHH2" s="235"/>
      <c r="RHI2" s="235"/>
      <c r="RHJ2" s="235"/>
      <c r="RHK2" s="235"/>
      <c r="RHL2" s="235"/>
      <c r="RHM2" s="235"/>
      <c r="RHN2" s="235"/>
      <c r="RHO2" s="235"/>
      <c r="RHP2" s="235"/>
      <c r="RHQ2" s="235"/>
      <c r="RHR2" s="235"/>
      <c r="RHS2" s="235"/>
      <c r="RHT2" s="235"/>
      <c r="RHU2" s="235"/>
      <c r="RHV2" s="235"/>
      <c r="RHW2" s="235"/>
      <c r="RHX2" s="235"/>
      <c r="RHY2" s="235"/>
      <c r="RHZ2" s="235"/>
      <c r="RIA2" s="235"/>
      <c r="RIB2" s="235"/>
      <c r="RIC2" s="235"/>
      <c r="RID2" s="235"/>
      <c r="RIE2" s="235"/>
      <c r="RIF2" s="235"/>
      <c r="RIG2" s="235"/>
      <c r="RIH2" s="235"/>
      <c r="RII2" s="235"/>
      <c r="RIJ2" s="235"/>
      <c r="RIK2" s="235"/>
      <c r="RIL2" s="235"/>
      <c r="RIM2" s="235"/>
      <c r="RIN2" s="235"/>
      <c r="RIO2" s="235"/>
      <c r="RIP2" s="235"/>
      <c r="RIQ2" s="235"/>
      <c r="RIR2" s="235"/>
      <c r="RIS2" s="235"/>
      <c r="RIT2" s="235"/>
      <c r="RIU2" s="235"/>
      <c r="RIV2" s="235"/>
      <c r="RIW2" s="235"/>
      <c r="RIX2" s="235"/>
      <c r="RIY2" s="235"/>
      <c r="RIZ2" s="235"/>
      <c r="RJA2" s="235"/>
      <c r="RJB2" s="235"/>
      <c r="RJC2" s="235"/>
      <c r="RJD2" s="235"/>
      <c r="RJE2" s="235"/>
      <c r="RJF2" s="235"/>
      <c r="RJG2" s="235"/>
      <c r="RJH2" s="235"/>
      <c r="RJI2" s="235"/>
      <c r="RJJ2" s="235"/>
      <c r="RJK2" s="235"/>
      <c r="RJL2" s="235"/>
      <c r="RJM2" s="235"/>
      <c r="RJN2" s="235"/>
      <c r="RJO2" s="235"/>
      <c r="RJP2" s="235"/>
      <c r="RJQ2" s="235"/>
      <c r="RJR2" s="235"/>
      <c r="RJS2" s="235"/>
      <c r="RJT2" s="235"/>
      <c r="RJU2" s="235"/>
      <c r="RJV2" s="235"/>
      <c r="RJW2" s="235"/>
      <c r="RJX2" s="235"/>
      <c r="RJY2" s="235"/>
      <c r="RJZ2" s="235"/>
      <c r="RKA2" s="235"/>
      <c r="RKB2" s="235"/>
      <c r="RKC2" s="235"/>
      <c r="RKD2" s="235"/>
      <c r="RKE2" s="235"/>
      <c r="RKF2" s="235"/>
      <c r="RKG2" s="235"/>
      <c r="RKH2" s="235"/>
      <c r="RKI2" s="235"/>
      <c r="RKJ2" s="235"/>
      <c r="RKK2" s="235"/>
      <c r="RKL2" s="235"/>
      <c r="RKM2" s="235"/>
      <c r="RKN2" s="235"/>
      <c r="RKO2" s="235"/>
      <c r="RKP2" s="235"/>
      <c r="RKQ2" s="235"/>
      <c r="RKR2" s="235"/>
      <c r="RKS2" s="235"/>
      <c r="RKT2" s="235"/>
      <c r="RKU2" s="235"/>
      <c r="RKV2" s="235"/>
      <c r="RKW2" s="235"/>
      <c r="RKX2" s="235"/>
      <c r="RKY2" s="235"/>
      <c r="RKZ2" s="235"/>
      <c r="RLA2" s="235"/>
      <c r="RLB2" s="235"/>
      <c r="RLC2" s="235"/>
      <c r="RLD2" s="235"/>
      <c r="RLE2" s="235"/>
      <c r="RLF2" s="235"/>
      <c r="RLG2" s="235"/>
      <c r="RLH2" s="235"/>
      <c r="RLI2" s="235"/>
      <c r="RLJ2" s="235"/>
      <c r="RLK2" s="235"/>
      <c r="RLL2" s="235"/>
      <c r="RLM2" s="235"/>
      <c r="RLN2" s="235"/>
      <c r="RLO2" s="235"/>
      <c r="RLP2" s="235"/>
      <c r="RLQ2" s="235"/>
      <c r="RLR2" s="235"/>
      <c r="RLS2" s="235"/>
      <c r="RLT2" s="235"/>
      <c r="RLU2" s="235"/>
      <c r="RLV2" s="235"/>
      <c r="RLW2" s="235"/>
      <c r="RLX2" s="235"/>
      <c r="RLY2" s="235"/>
      <c r="RLZ2" s="235"/>
      <c r="RMA2" s="235"/>
      <c r="RMB2" s="235"/>
      <c r="RMC2" s="235"/>
      <c r="RMD2" s="235"/>
      <c r="RME2" s="235"/>
      <c r="RMF2" s="235"/>
      <c r="RMG2" s="235"/>
      <c r="RMH2" s="235"/>
      <c r="RMI2" s="235"/>
      <c r="RMJ2" s="235"/>
      <c r="RMK2" s="235"/>
      <c r="RML2" s="235"/>
      <c r="RMM2" s="235"/>
      <c r="RMN2" s="235"/>
      <c r="RMO2" s="235"/>
      <c r="RMP2" s="235"/>
      <c r="RMQ2" s="235"/>
      <c r="RMR2" s="235"/>
      <c r="RMS2" s="235"/>
      <c r="RMT2" s="235"/>
      <c r="RMU2" s="235"/>
      <c r="RMV2" s="235"/>
      <c r="RMW2" s="235"/>
      <c r="RMX2" s="235"/>
      <c r="RMY2" s="235"/>
      <c r="RMZ2" s="235"/>
      <c r="RNA2" s="235"/>
      <c r="RNB2" s="235"/>
      <c r="RNC2" s="235"/>
      <c r="RND2" s="235"/>
      <c r="RNE2" s="235"/>
      <c r="RNF2" s="235"/>
      <c r="RNG2" s="235"/>
      <c r="RNH2" s="235"/>
      <c r="RNI2" s="235"/>
      <c r="RNJ2" s="235"/>
      <c r="RNK2" s="235"/>
      <c r="RNL2" s="235"/>
      <c r="RNM2" s="235"/>
      <c r="RNN2" s="235"/>
      <c r="RNO2" s="235"/>
      <c r="RNP2" s="235"/>
      <c r="RNQ2" s="235"/>
      <c r="RNR2" s="235"/>
      <c r="RNS2" s="235"/>
      <c r="RNT2" s="235"/>
      <c r="RNU2" s="235"/>
      <c r="RNV2" s="235"/>
      <c r="RNW2" s="235"/>
      <c r="RNX2" s="235"/>
      <c r="RNY2" s="235"/>
      <c r="RNZ2" s="235"/>
      <c r="ROA2" s="235"/>
      <c r="ROB2" s="235"/>
      <c r="ROC2" s="235"/>
      <c r="ROD2" s="235"/>
      <c r="ROE2" s="235"/>
      <c r="ROF2" s="235"/>
      <c r="ROG2" s="235"/>
      <c r="ROH2" s="235"/>
      <c r="ROI2" s="235"/>
      <c r="ROJ2" s="235"/>
      <c r="ROK2" s="235"/>
      <c r="ROL2" s="235"/>
      <c r="ROM2" s="235"/>
      <c r="RON2" s="235"/>
      <c r="ROO2" s="235"/>
      <c r="ROP2" s="235"/>
      <c r="ROQ2" s="235"/>
      <c r="ROR2" s="235"/>
      <c r="ROS2" s="235"/>
      <c r="ROT2" s="235"/>
      <c r="ROU2" s="235"/>
      <c r="ROV2" s="235"/>
      <c r="ROW2" s="235"/>
      <c r="ROX2" s="235"/>
      <c r="ROY2" s="235"/>
      <c r="ROZ2" s="235"/>
      <c r="RPA2" s="235"/>
      <c r="RPB2" s="235"/>
      <c r="RPC2" s="235"/>
      <c r="RPD2" s="235"/>
      <c r="RPE2" s="235"/>
      <c r="RPF2" s="235"/>
      <c r="RPG2" s="235"/>
      <c r="RPH2" s="235"/>
      <c r="RPI2" s="235"/>
      <c r="RPJ2" s="235"/>
      <c r="RPK2" s="235"/>
      <c r="RPL2" s="235"/>
      <c r="RPM2" s="235"/>
      <c r="RPN2" s="235"/>
      <c r="RPO2" s="235"/>
      <c r="RPP2" s="235"/>
      <c r="RPQ2" s="235"/>
      <c r="RPR2" s="235"/>
      <c r="RPS2" s="235"/>
      <c r="RPT2" s="235"/>
      <c r="RPU2" s="235"/>
      <c r="RPV2" s="235"/>
      <c r="RPW2" s="235"/>
      <c r="RPX2" s="235"/>
      <c r="RPY2" s="235"/>
      <c r="RPZ2" s="235"/>
      <c r="RQA2" s="235"/>
      <c r="RQB2" s="235"/>
      <c r="RQC2" s="235"/>
      <c r="RQD2" s="235"/>
      <c r="RQE2" s="235"/>
      <c r="RQF2" s="235"/>
      <c r="RQG2" s="235"/>
      <c r="RQH2" s="235"/>
      <c r="RQI2" s="235"/>
      <c r="RQJ2" s="235"/>
      <c r="RQK2" s="235"/>
      <c r="RQL2" s="235"/>
      <c r="RQM2" s="235"/>
      <c r="RQN2" s="235"/>
      <c r="RQO2" s="235"/>
      <c r="RQP2" s="235"/>
      <c r="RQQ2" s="235"/>
      <c r="RQR2" s="235"/>
      <c r="RQS2" s="235"/>
      <c r="RQT2" s="235"/>
      <c r="RQU2" s="235"/>
      <c r="RQV2" s="235"/>
      <c r="RQW2" s="235"/>
      <c r="RQX2" s="235"/>
      <c r="RQY2" s="235"/>
      <c r="RQZ2" s="235"/>
      <c r="RRA2" s="235"/>
      <c r="RRB2" s="235"/>
      <c r="RRC2" s="235"/>
      <c r="RRD2" s="235"/>
      <c r="RRE2" s="235"/>
      <c r="RRF2" s="235"/>
      <c r="RRG2" s="235"/>
      <c r="RRH2" s="235"/>
      <c r="RRI2" s="235"/>
      <c r="RRJ2" s="235"/>
      <c r="RRK2" s="235"/>
      <c r="RRL2" s="235"/>
      <c r="RRM2" s="235"/>
      <c r="RRN2" s="235"/>
      <c r="RRO2" s="235"/>
      <c r="RRP2" s="235"/>
      <c r="RRQ2" s="235"/>
      <c r="RRR2" s="235"/>
      <c r="RRS2" s="235"/>
      <c r="RRT2" s="235"/>
      <c r="RRU2" s="235"/>
      <c r="RRV2" s="235"/>
      <c r="RRW2" s="235"/>
      <c r="RRX2" s="235"/>
      <c r="RRY2" s="235"/>
      <c r="RRZ2" s="235"/>
      <c r="RSA2" s="235"/>
      <c r="RSB2" s="235"/>
      <c r="RSC2" s="235"/>
      <c r="RSD2" s="235"/>
      <c r="RSE2" s="235"/>
      <c r="RSF2" s="235"/>
      <c r="RSG2" s="235"/>
      <c r="RSH2" s="235"/>
      <c r="RSI2" s="235"/>
      <c r="RSJ2" s="235"/>
      <c r="RSK2" s="235"/>
      <c r="RSL2" s="235"/>
      <c r="RSM2" s="235"/>
      <c r="RSN2" s="235"/>
      <c r="RSO2" s="235"/>
      <c r="RSP2" s="235"/>
      <c r="RSQ2" s="235"/>
      <c r="RSR2" s="235"/>
      <c r="RSS2" s="235"/>
      <c r="RST2" s="235"/>
      <c r="RSU2" s="235"/>
      <c r="RSV2" s="235"/>
      <c r="RSW2" s="235"/>
      <c r="RSX2" s="235"/>
      <c r="RSY2" s="235"/>
      <c r="RSZ2" s="235"/>
      <c r="RTA2" s="235"/>
      <c r="RTB2" s="235"/>
      <c r="RTC2" s="235"/>
      <c r="RTD2" s="235"/>
      <c r="RTE2" s="235"/>
      <c r="RTF2" s="235"/>
      <c r="RTG2" s="235"/>
      <c r="RTH2" s="235"/>
      <c r="RTI2" s="235"/>
      <c r="RTJ2" s="235"/>
      <c r="RTK2" s="235"/>
      <c r="RTL2" s="235"/>
      <c r="RTM2" s="235"/>
      <c r="RTN2" s="235"/>
      <c r="RTO2" s="235"/>
      <c r="RTP2" s="235"/>
      <c r="RTQ2" s="235"/>
      <c r="RTR2" s="235"/>
      <c r="RTS2" s="235"/>
      <c r="RTT2" s="235"/>
      <c r="RTU2" s="235"/>
      <c r="RTV2" s="235"/>
      <c r="RTW2" s="235"/>
      <c r="RTX2" s="235"/>
      <c r="RTY2" s="235"/>
      <c r="RTZ2" s="235"/>
      <c r="RUA2" s="235"/>
      <c r="RUB2" s="235"/>
      <c r="RUC2" s="235"/>
      <c r="RUD2" s="235"/>
      <c r="RUE2" s="235"/>
      <c r="RUF2" s="235"/>
      <c r="RUG2" s="235"/>
      <c r="RUH2" s="235"/>
      <c r="RUI2" s="235"/>
      <c r="RUJ2" s="235"/>
      <c r="RUK2" s="235"/>
      <c r="RUL2" s="235"/>
      <c r="RUM2" s="235"/>
      <c r="RUN2" s="235"/>
      <c r="RUO2" s="235"/>
      <c r="RUP2" s="235"/>
      <c r="RUQ2" s="235"/>
      <c r="RUR2" s="235"/>
      <c r="RUS2" s="235"/>
      <c r="RUT2" s="235"/>
      <c r="RUU2" s="235"/>
      <c r="RUV2" s="235"/>
      <c r="RUW2" s="235"/>
      <c r="RUX2" s="235"/>
      <c r="RUY2" s="235"/>
      <c r="RUZ2" s="235"/>
      <c r="RVA2" s="235"/>
      <c r="RVB2" s="235"/>
      <c r="RVC2" s="235"/>
      <c r="RVD2" s="235"/>
      <c r="RVE2" s="235"/>
      <c r="RVF2" s="235"/>
      <c r="RVG2" s="235"/>
      <c r="RVH2" s="235"/>
      <c r="RVI2" s="235"/>
      <c r="RVJ2" s="235"/>
      <c r="RVK2" s="235"/>
      <c r="RVL2" s="235"/>
      <c r="RVM2" s="235"/>
      <c r="RVN2" s="235"/>
      <c r="RVO2" s="235"/>
      <c r="RVP2" s="235"/>
      <c r="RVQ2" s="235"/>
      <c r="RVR2" s="235"/>
      <c r="RVS2" s="235"/>
      <c r="RVT2" s="235"/>
      <c r="RVU2" s="235"/>
      <c r="RVV2" s="235"/>
      <c r="RVW2" s="235"/>
      <c r="RVX2" s="235"/>
      <c r="RVY2" s="235"/>
      <c r="RVZ2" s="235"/>
      <c r="RWA2" s="235"/>
      <c r="RWB2" s="235"/>
      <c r="RWC2" s="235"/>
      <c r="RWD2" s="235"/>
      <c r="RWE2" s="235"/>
      <c r="RWF2" s="235"/>
      <c r="RWG2" s="235"/>
      <c r="RWH2" s="235"/>
      <c r="RWI2" s="235"/>
      <c r="RWJ2" s="235"/>
      <c r="RWK2" s="235"/>
      <c r="RWL2" s="235"/>
      <c r="RWM2" s="235"/>
      <c r="RWN2" s="235"/>
      <c r="RWO2" s="235"/>
      <c r="RWP2" s="235"/>
      <c r="RWQ2" s="235"/>
      <c r="RWR2" s="235"/>
      <c r="RWS2" s="235"/>
      <c r="RWT2" s="235"/>
      <c r="RWU2" s="235"/>
      <c r="RWV2" s="235"/>
      <c r="RWW2" s="235"/>
      <c r="RWX2" s="235"/>
      <c r="RWY2" s="235"/>
      <c r="RWZ2" s="235"/>
      <c r="RXA2" s="235"/>
      <c r="RXB2" s="235"/>
      <c r="RXC2" s="235"/>
      <c r="RXD2" s="235"/>
      <c r="RXE2" s="235"/>
      <c r="RXF2" s="235"/>
      <c r="RXG2" s="235"/>
      <c r="RXH2" s="235"/>
      <c r="RXI2" s="235"/>
      <c r="RXJ2" s="235"/>
      <c r="RXK2" s="235"/>
      <c r="RXL2" s="235"/>
      <c r="RXM2" s="235"/>
      <c r="RXN2" s="235"/>
      <c r="RXO2" s="235"/>
      <c r="RXP2" s="235"/>
      <c r="RXQ2" s="235"/>
      <c r="RXR2" s="235"/>
      <c r="RXS2" s="235"/>
      <c r="RXT2" s="235"/>
      <c r="RXU2" s="235"/>
      <c r="RXV2" s="235"/>
      <c r="RXW2" s="235"/>
      <c r="RXX2" s="235"/>
      <c r="RXY2" s="235"/>
      <c r="RXZ2" s="235"/>
      <c r="RYA2" s="235"/>
      <c r="RYB2" s="235"/>
      <c r="RYC2" s="235"/>
      <c r="RYD2" s="235"/>
      <c r="RYE2" s="235"/>
      <c r="RYF2" s="235"/>
      <c r="RYG2" s="235"/>
      <c r="RYH2" s="235"/>
      <c r="RYI2" s="235"/>
      <c r="RYJ2" s="235"/>
      <c r="RYK2" s="235"/>
      <c r="RYL2" s="235"/>
      <c r="RYM2" s="235"/>
      <c r="RYN2" s="235"/>
      <c r="RYO2" s="235"/>
      <c r="RYP2" s="235"/>
      <c r="RYQ2" s="235"/>
      <c r="RYR2" s="235"/>
      <c r="RYS2" s="235"/>
      <c r="RYT2" s="235"/>
      <c r="RYU2" s="235"/>
      <c r="RYV2" s="235"/>
      <c r="RYW2" s="235"/>
      <c r="RYX2" s="235"/>
      <c r="RYY2" s="235"/>
      <c r="RYZ2" s="235"/>
      <c r="RZA2" s="235"/>
      <c r="RZB2" s="235"/>
      <c r="RZC2" s="235"/>
      <c r="RZD2" s="235"/>
      <c r="RZE2" s="235"/>
      <c r="RZF2" s="235"/>
      <c r="RZG2" s="235"/>
      <c r="RZH2" s="235"/>
      <c r="RZI2" s="235"/>
      <c r="RZJ2" s="235"/>
      <c r="RZK2" s="235"/>
      <c r="RZL2" s="235"/>
      <c r="RZM2" s="235"/>
      <c r="RZN2" s="235"/>
      <c r="RZO2" s="235"/>
      <c r="RZP2" s="235"/>
      <c r="RZQ2" s="235"/>
      <c r="RZR2" s="235"/>
      <c r="RZS2" s="235"/>
      <c r="RZT2" s="235"/>
      <c r="RZU2" s="235"/>
      <c r="RZV2" s="235"/>
      <c r="RZW2" s="235"/>
      <c r="RZX2" s="235"/>
      <c r="RZY2" s="235"/>
      <c r="RZZ2" s="235"/>
      <c r="SAA2" s="235"/>
      <c r="SAB2" s="235"/>
      <c r="SAC2" s="235"/>
      <c r="SAD2" s="235"/>
      <c r="SAE2" s="235"/>
      <c r="SAF2" s="235"/>
      <c r="SAG2" s="235"/>
      <c r="SAH2" s="235"/>
      <c r="SAI2" s="235"/>
      <c r="SAJ2" s="235"/>
      <c r="SAK2" s="235"/>
      <c r="SAL2" s="235"/>
      <c r="SAM2" s="235"/>
      <c r="SAN2" s="235"/>
      <c r="SAO2" s="235"/>
      <c r="SAP2" s="235"/>
      <c r="SAQ2" s="235"/>
      <c r="SAR2" s="235"/>
      <c r="SAS2" s="235"/>
      <c r="SAT2" s="235"/>
      <c r="SAU2" s="235"/>
      <c r="SAV2" s="235"/>
      <c r="SAW2" s="235"/>
      <c r="SAX2" s="235"/>
      <c r="SAY2" s="235"/>
      <c r="SAZ2" s="235"/>
      <c r="SBA2" s="235"/>
      <c r="SBB2" s="235"/>
      <c r="SBC2" s="235"/>
      <c r="SBD2" s="235"/>
      <c r="SBE2" s="235"/>
      <c r="SBF2" s="235"/>
      <c r="SBG2" s="235"/>
      <c r="SBH2" s="235"/>
      <c r="SBI2" s="235"/>
      <c r="SBJ2" s="235"/>
      <c r="SBK2" s="235"/>
      <c r="SBL2" s="235"/>
      <c r="SBM2" s="235"/>
      <c r="SBN2" s="235"/>
      <c r="SBO2" s="235"/>
      <c r="SBP2" s="235"/>
      <c r="SBQ2" s="235"/>
      <c r="SBR2" s="235"/>
      <c r="SBS2" s="235"/>
      <c r="SBT2" s="235"/>
      <c r="SBU2" s="235"/>
      <c r="SBV2" s="235"/>
      <c r="SBW2" s="235"/>
      <c r="SBX2" s="235"/>
      <c r="SBY2" s="235"/>
      <c r="SBZ2" s="235"/>
      <c r="SCA2" s="235"/>
      <c r="SCB2" s="235"/>
      <c r="SCC2" s="235"/>
      <c r="SCD2" s="235"/>
      <c r="SCE2" s="235"/>
      <c r="SCF2" s="235"/>
      <c r="SCG2" s="235"/>
      <c r="SCH2" s="235"/>
      <c r="SCI2" s="235"/>
      <c r="SCJ2" s="235"/>
      <c r="SCK2" s="235"/>
      <c r="SCL2" s="235"/>
      <c r="SCM2" s="235"/>
      <c r="SCN2" s="235"/>
      <c r="SCO2" s="235"/>
      <c r="SCP2" s="235"/>
      <c r="SCQ2" s="235"/>
      <c r="SCR2" s="235"/>
      <c r="SCS2" s="235"/>
      <c r="SCT2" s="235"/>
      <c r="SCU2" s="235"/>
      <c r="SCV2" s="235"/>
      <c r="SCW2" s="235"/>
      <c r="SCX2" s="235"/>
      <c r="SCY2" s="235"/>
      <c r="SCZ2" s="235"/>
      <c r="SDA2" s="235"/>
      <c r="SDB2" s="235"/>
      <c r="SDC2" s="235"/>
      <c r="SDD2" s="235"/>
      <c r="SDE2" s="235"/>
      <c r="SDF2" s="235"/>
      <c r="SDG2" s="235"/>
      <c r="SDH2" s="235"/>
      <c r="SDI2" s="235"/>
      <c r="SDJ2" s="235"/>
      <c r="SDK2" s="235"/>
      <c r="SDL2" s="235"/>
      <c r="SDM2" s="235"/>
      <c r="SDN2" s="235"/>
      <c r="SDO2" s="235"/>
      <c r="SDP2" s="235"/>
      <c r="SDQ2" s="235"/>
      <c r="SDR2" s="235"/>
      <c r="SDS2" s="235"/>
      <c r="SDT2" s="235"/>
      <c r="SDU2" s="235"/>
      <c r="SDV2" s="235"/>
      <c r="SDW2" s="235"/>
      <c r="SDX2" s="235"/>
      <c r="SDY2" s="235"/>
      <c r="SDZ2" s="235"/>
      <c r="SEA2" s="235"/>
      <c r="SEB2" s="235"/>
      <c r="SEC2" s="235"/>
      <c r="SED2" s="235"/>
      <c r="SEE2" s="235"/>
      <c r="SEF2" s="235"/>
      <c r="SEG2" s="235"/>
      <c r="SEH2" s="235"/>
      <c r="SEI2" s="235"/>
      <c r="SEJ2" s="235"/>
      <c r="SEK2" s="235"/>
      <c r="SEL2" s="235"/>
      <c r="SEM2" s="235"/>
      <c r="SEN2" s="235"/>
      <c r="SEO2" s="235"/>
      <c r="SEP2" s="235"/>
      <c r="SEQ2" s="235"/>
      <c r="SER2" s="235"/>
      <c r="SES2" s="235"/>
      <c r="SET2" s="235"/>
      <c r="SEU2" s="235"/>
      <c r="SEV2" s="235"/>
      <c r="SEW2" s="235"/>
      <c r="SEX2" s="235"/>
      <c r="SEY2" s="235"/>
      <c r="SEZ2" s="235"/>
      <c r="SFA2" s="235"/>
      <c r="SFB2" s="235"/>
      <c r="SFC2" s="235"/>
      <c r="SFD2" s="235"/>
      <c r="SFE2" s="235"/>
      <c r="SFF2" s="235"/>
      <c r="SFG2" s="235"/>
      <c r="SFH2" s="235"/>
      <c r="SFI2" s="235"/>
      <c r="SFJ2" s="235"/>
      <c r="SFK2" s="235"/>
      <c r="SFL2" s="235"/>
      <c r="SFM2" s="235"/>
      <c r="SFN2" s="235"/>
      <c r="SFO2" s="235"/>
      <c r="SFP2" s="235"/>
      <c r="SFQ2" s="235"/>
      <c r="SFR2" s="235"/>
      <c r="SFS2" s="235"/>
      <c r="SFT2" s="235"/>
      <c r="SFU2" s="235"/>
      <c r="SFV2" s="235"/>
      <c r="SFW2" s="235"/>
      <c r="SFX2" s="235"/>
      <c r="SFY2" s="235"/>
      <c r="SFZ2" s="235"/>
      <c r="SGA2" s="235"/>
      <c r="SGB2" s="235"/>
      <c r="SGC2" s="235"/>
      <c r="SGD2" s="235"/>
      <c r="SGE2" s="235"/>
      <c r="SGF2" s="235"/>
      <c r="SGG2" s="235"/>
      <c r="SGH2" s="235"/>
      <c r="SGI2" s="235"/>
      <c r="SGJ2" s="235"/>
      <c r="SGK2" s="235"/>
      <c r="SGL2" s="235"/>
      <c r="SGM2" s="235"/>
      <c r="SGN2" s="235"/>
      <c r="SGO2" s="235"/>
      <c r="SGP2" s="235"/>
      <c r="SGQ2" s="235"/>
      <c r="SGR2" s="235"/>
      <c r="SGS2" s="235"/>
      <c r="SGT2" s="235"/>
      <c r="SGU2" s="235"/>
      <c r="SGV2" s="235"/>
      <c r="SGW2" s="235"/>
      <c r="SGX2" s="235"/>
      <c r="SGY2" s="235"/>
      <c r="SGZ2" s="235"/>
      <c r="SHA2" s="235"/>
      <c r="SHB2" s="235"/>
      <c r="SHC2" s="235"/>
      <c r="SHD2" s="235"/>
      <c r="SHE2" s="235"/>
      <c r="SHF2" s="235"/>
      <c r="SHG2" s="235"/>
      <c r="SHH2" s="235"/>
      <c r="SHI2" s="235"/>
      <c r="SHJ2" s="235"/>
      <c r="SHK2" s="235"/>
      <c r="SHL2" s="235"/>
      <c r="SHM2" s="235"/>
      <c r="SHN2" s="235"/>
      <c r="SHO2" s="235"/>
      <c r="SHP2" s="235"/>
      <c r="SHQ2" s="235"/>
      <c r="SHR2" s="235"/>
      <c r="SHS2" s="235"/>
      <c r="SHT2" s="235"/>
      <c r="SHU2" s="235"/>
      <c r="SHV2" s="235"/>
      <c r="SHW2" s="235"/>
      <c r="SHX2" s="235"/>
      <c r="SHY2" s="235"/>
      <c r="SHZ2" s="235"/>
      <c r="SIA2" s="235"/>
      <c r="SIB2" s="235"/>
      <c r="SIC2" s="235"/>
      <c r="SID2" s="235"/>
      <c r="SIE2" s="235"/>
      <c r="SIF2" s="235"/>
      <c r="SIG2" s="235"/>
      <c r="SIH2" s="235"/>
      <c r="SII2" s="235"/>
      <c r="SIJ2" s="235"/>
      <c r="SIK2" s="235"/>
      <c r="SIL2" s="235"/>
      <c r="SIM2" s="235"/>
      <c r="SIN2" s="235"/>
      <c r="SIO2" s="235"/>
      <c r="SIP2" s="235"/>
      <c r="SIQ2" s="235"/>
      <c r="SIR2" s="235"/>
      <c r="SIS2" s="235"/>
      <c r="SIT2" s="235"/>
      <c r="SIU2" s="235"/>
      <c r="SIV2" s="235"/>
      <c r="SIW2" s="235"/>
      <c r="SIX2" s="235"/>
      <c r="SIY2" s="235"/>
      <c r="SIZ2" s="235"/>
      <c r="SJA2" s="235"/>
      <c r="SJB2" s="235"/>
      <c r="SJC2" s="235"/>
      <c r="SJD2" s="235"/>
      <c r="SJE2" s="235"/>
      <c r="SJF2" s="235"/>
      <c r="SJG2" s="235"/>
      <c r="SJH2" s="235"/>
      <c r="SJI2" s="235"/>
      <c r="SJJ2" s="235"/>
      <c r="SJK2" s="235"/>
      <c r="SJL2" s="235"/>
      <c r="SJM2" s="235"/>
      <c r="SJN2" s="235"/>
      <c r="SJO2" s="235"/>
      <c r="SJP2" s="235"/>
      <c r="SJQ2" s="235"/>
      <c r="SJR2" s="235"/>
      <c r="SJS2" s="235"/>
      <c r="SJT2" s="235"/>
      <c r="SJU2" s="235"/>
      <c r="SJV2" s="235"/>
      <c r="SJW2" s="235"/>
      <c r="SJX2" s="235"/>
      <c r="SJY2" s="235"/>
      <c r="SJZ2" s="235"/>
      <c r="SKA2" s="235"/>
      <c r="SKB2" s="235"/>
      <c r="SKC2" s="235"/>
      <c r="SKD2" s="235"/>
      <c r="SKE2" s="235"/>
      <c r="SKF2" s="235"/>
      <c r="SKG2" s="235"/>
      <c r="SKH2" s="235"/>
      <c r="SKI2" s="235"/>
      <c r="SKJ2" s="235"/>
      <c r="SKK2" s="235"/>
      <c r="SKL2" s="235"/>
      <c r="SKM2" s="235"/>
      <c r="SKN2" s="235"/>
      <c r="SKO2" s="235"/>
      <c r="SKP2" s="235"/>
      <c r="SKQ2" s="235"/>
      <c r="SKR2" s="235"/>
      <c r="SKS2" s="235"/>
      <c r="SKT2" s="235"/>
      <c r="SKU2" s="235"/>
      <c r="SKV2" s="235"/>
      <c r="SKW2" s="235"/>
      <c r="SKX2" s="235"/>
      <c r="SKY2" s="235"/>
      <c r="SKZ2" s="235"/>
      <c r="SLA2" s="235"/>
      <c r="SLB2" s="235"/>
      <c r="SLC2" s="235"/>
      <c r="SLD2" s="235"/>
      <c r="SLE2" s="235"/>
      <c r="SLF2" s="235"/>
      <c r="SLG2" s="235"/>
      <c r="SLH2" s="235"/>
      <c r="SLI2" s="235"/>
      <c r="SLJ2" s="235"/>
      <c r="SLK2" s="235"/>
      <c r="SLL2" s="235"/>
      <c r="SLM2" s="235"/>
      <c r="SLN2" s="235"/>
      <c r="SLO2" s="235"/>
      <c r="SLP2" s="235"/>
      <c r="SLQ2" s="235"/>
      <c r="SLR2" s="235"/>
      <c r="SLS2" s="235"/>
      <c r="SLT2" s="235"/>
      <c r="SLU2" s="235"/>
      <c r="SLV2" s="235"/>
      <c r="SLW2" s="235"/>
      <c r="SLX2" s="235"/>
      <c r="SLY2" s="235"/>
      <c r="SLZ2" s="235"/>
      <c r="SMA2" s="235"/>
      <c r="SMB2" s="235"/>
      <c r="SMC2" s="235"/>
      <c r="SMD2" s="235"/>
      <c r="SME2" s="235"/>
      <c r="SMF2" s="235"/>
      <c r="SMG2" s="235"/>
      <c r="SMH2" s="235"/>
      <c r="SMI2" s="235"/>
      <c r="SMJ2" s="235"/>
      <c r="SMK2" s="235"/>
      <c r="SML2" s="235"/>
      <c r="SMM2" s="235"/>
      <c r="SMN2" s="235"/>
      <c r="SMO2" s="235"/>
      <c r="SMP2" s="235"/>
      <c r="SMQ2" s="235"/>
      <c r="SMR2" s="235"/>
      <c r="SMS2" s="235"/>
      <c r="SMT2" s="235"/>
      <c r="SMU2" s="235"/>
      <c r="SMV2" s="235"/>
      <c r="SMW2" s="235"/>
      <c r="SMX2" s="235"/>
      <c r="SMY2" s="235"/>
      <c r="SMZ2" s="235"/>
      <c r="SNA2" s="235"/>
      <c r="SNB2" s="235"/>
      <c r="SNC2" s="235"/>
      <c r="SND2" s="235"/>
      <c r="SNE2" s="235"/>
      <c r="SNF2" s="235"/>
      <c r="SNG2" s="235"/>
      <c r="SNH2" s="235"/>
      <c r="SNI2" s="235"/>
      <c r="SNJ2" s="235"/>
      <c r="SNK2" s="235"/>
      <c r="SNL2" s="235"/>
      <c r="SNM2" s="235"/>
      <c r="SNN2" s="235"/>
      <c r="SNO2" s="235"/>
      <c r="SNP2" s="235"/>
      <c r="SNQ2" s="235"/>
      <c r="SNR2" s="235"/>
      <c r="SNS2" s="235"/>
      <c r="SNT2" s="235"/>
      <c r="SNU2" s="235"/>
      <c r="SNV2" s="235"/>
      <c r="SNW2" s="235"/>
      <c r="SNX2" s="235"/>
      <c r="SNY2" s="235"/>
      <c r="SNZ2" s="235"/>
      <c r="SOA2" s="235"/>
      <c r="SOB2" s="235"/>
      <c r="SOC2" s="235"/>
      <c r="SOD2" s="235"/>
      <c r="SOE2" s="235"/>
      <c r="SOF2" s="235"/>
      <c r="SOG2" s="235"/>
      <c r="SOH2" s="235"/>
      <c r="SOI2" s="235"/>
      <c r="SOJ2" s="235"/>
      <c r="SOK2" s="235"/>
      <c r="SOL2" s="235"/>
      <c r="SOM2" s="235"/>
      <c r="SON2" s="235"/>
      <c r="SOO2" s="235"/>
      <c r="SOP2" s="235"/>
      <c r="SOQ2" s="235"/>
      <c r="SOR2" s="235"/>
      <c r="SOS2" s="235"/>
      <c r="SOT2" s="235"/>
      <c r="SOU2" s="235"/>
      <c r="SOV2" s="235"/>
      <c r="SOW2" s="235"/>
      <c r="SOX2" s="235"/>
      <c r="SOY2" s="235"/>
      <c r="SOZ2" s="235"/>
      <c r="SPA2" s="235"/>
      <c r="SPB2" s="235"/>
      <c r="SPC2" s="235"/>
      <c r="SPD2" s="235"/>
      <c r="SPE2" s="235"/>
      <c r="SPF2" s="235"/>
      <c r="SPG2" s="235"/>
      <c r="SPH2" s="235"/>
      <c r="SPI2" s="235"/>
      <c r="SPJ2" s="235"/>
      <c r="SPK2" s="235"/>
      <c r="SPL2" s="235"/>
      <c r="SPM2" s="235"/>
      <c r="SPN2" s="235"/>
      <c r="SPO2" s="235"/>
      <c r="SPP2" s="235"/>
      <c r="SPQ2" s="235"/>
      <c r="SPR2" s="235"/>
      <c r="SPS2" s="235"/>
      <c r="SPT2" s="235"/>
      <c r="SPU2" s="235"/>
      <c r="SPV2" s="235"/>
      <c r="SPW2" s="235"/>
      <c r="SPX2" s="235"/>
      <c r="SPY2" s="235"/>
      <c r="SPZ2" s="235"/>
      <c r="SQA2" s="235"/>
      <c r="SQB2" s="235"/>
      <c r="SQC2" s="235"/>
      <c r="SQD2" s="235"/>
      <c r="SQE2" s="235"/>
      <c r="SQF2" s="235"/>
      <c r="SQG2" s="235"/>
      <c r="SQH2" s="235"/>
      <c r="SQI2" s="235"/>
      <c r="SQJ2" s="235"/>
      <c r="SQK2" s="235"/>
      <c r="SQL2" s="235"/>
      <c r="SQM2" s="235"/>
      <c r="SQN2" s="235"/>
      <c r="SQO2" s="235"/>
      <c r="SQP2" s="235"/>
      <c r="SQQ2" s="235"/>
      <c r="SQR2" s="235"/>
      <c r="SQS2" s="235"/>
      <c r="SQT2" s="235"/>
      <c r="SQU2" s="235"/>
      <c r="SQV2" s="235"/>
      <c r="SQW2" s="235"/>
      <c r="SQX2" s="235"/>
      <c r="SQY2" s="235"/>
      <c r="SQZ2" s="235"/>
      <c r="SRA2" s="235"/>
      <c r="SRB2" s="235"/>
      <c r="SRC2" s="235"/>
      <c r="SRD2" s="235"/>
      <c r="SRE2" s="235"/>
      <c r="SRF2" s="235"/>
      <c r="SRG2" s="235"/>
      <c r="SRH2" s="235"/>
      <c r="SRI2" s="235"/>
      <c r="SRJ2" s="235"/>
      <c r="SRK2" s="235"/>
      <c r="SRL2" s="235"/>
      <c r="SRM2" s="235"/>
      <c r="SRN2" s="235"/>
      <c r="SRO2" s="235"/>
      <c r="SRP2" s="235"/>
      <c r="SRQ2" s="235"/>
      <c r="SRR2" s="235"/>
      <c r="SRS2" s="235"/>
      <c r="SRT2" s="235"/>
      <c r="SRU2" s="235"/>
      <c r="SRV2" s="235"/>
      <c r="SRW2" s="235"/>
      <c r="SRX2" s="235"/>
      <c r="SRY2" s="235"/>
      <c r="SRZ2" s="235"/>
      <c r="SSA2" s="235"/>
      <c r="SSB2" s="235"/>
      <c r="SSC2" s="235"/>
      <c r="SSD2" s="235"/>
      <c r="SSE2" s="235"/>
      <c r="SSF2" s="235"/>
      <c r="SSG2" s="235"/>
      <c r="SSH2" s="235"/>
      <c r="SSI2" s="235"/>
      <c r="SSJ2" s="235"/>
      <c r="SSK2" s="235"/>
      <c r="SSL2" s="235"/>
      <c r="SSM2" s="235"/>
      <c r="SSN2" s="235"/>
      <c r="SSO2" s="235"/>
      <c r="SSP2" s="235"/>
      <c r="SSQ2" s="235"/>
      <c r="SSR2" s="235"/>
      <c r="SSS2" s="235"/>
      <c r="SST2" s="235"/>
      <c r="SSU2" s="235"/>
      <c r="SSV2" s="235"/>
      <c r="SSW2" s="235"/>
      <c r="SSX2" s="235"/>
      <c r="SSY2" s="235"/>
      <c r="SSZ2" s="235"/>
      <c r="STA2" s="235"/>
      <c r="STB2" s="235"/>
      <c r="STC2" s="235"/>
      <c r="STD2" s="235"/>
      <c r="STE2" s="235"/>
      <c r="STF2" s="235"/>
      <c r="STG2" s="235"/>
      <c r="STH2" s="235"/>
      <c r="STI2" s="235"/>
      <c r="STJ2" s="235"/>
      <c r="STK2" s="235"/>
      <c r="STL2" s="235"/>
      <c r="STM2" s="235"/>
      <c r="STN2" s="235"/>
      <c r="STO2" s="235"/>
      <c r="STP2" s="235"/>
      <c r="STQ2" s="235"/>
      <c r="STR2" s="235"/>
      <c r="STS2" s="235"/>
      <c r="STT2" s="235"/>
      <c r="STU2" s="235"/>
      <c r="STV2" s="235"/>
      <c r="STW2" s="235"/>
      <c r="STX2" s="235"/>
      <c r="STY2" s="235"/>
      <c r="STZ2" s="235"/>
      <c r="SUA2" s="235"/>
      <c r="SUB2" s="235"/>
      <c r="SUC2" s="235"/>
      <c r="SUD2" s="235"/>
      <c r="SUE2" s="235"/>
      <c r="SUF2" s="235"/>
      <c r="SUG2" s="235"/>
      <c r="SUH2" s="235"/>
      <c r="SUI2" s="235"/>
      <c r="SUJ2" s="235"/>
      <c r="SUK2" s="235"/>
      <c r="SUL2" s="235"/>
      <c r="SUM2" s="235"/>
      <c r="SUN2" s="235"/>
      <c r="SUO2" s="235"/>
      <c r="SUP2" s="235"/>
      <c r="SUQ2" s="235"/>
      <c r="SUR2" s="235"/>
      <c r="SUS2" s="235"/>
      <c r="SUT2" s="235"/>
      <c r="SUU2" s="235"/>
      <c r="SUV2" s="235"/>
      <c r="SUW2" s="235"/>
      <c r="SUX2" s="235"/>
      <c r="SUY2" s="235"/>
      <c r="SUZ2" s="235"/>
      <c r="SVA2" s="235"/>
      <c r="SVB2" s="235"/>
      <c r="SVC2" s="235"/>
      <c r="SVD2" s="235"/>
      <c r="SVE2" s="235"/>
      <c r="SVF2" s="235"/>
      <c r="SVG2" s="235"/>
      <c r="SVH2" s="235"/>
      <c r="SVI2" s="235"/>
      <c r="SVJ2" s="235"/>
      <c r="SVK2" s="235"/>
      <c r="SVL2" s="235"/>
      <c r="SVM2" s="235"/>
      <c r="SVN2" s="235"/>
      <c r="SVO2" s="235"/>
      <c r="SVP2" s="235"/>
      <c r="SVQ2" s="235"/>
      <c r="SVR2" s="235"/>
      <c r="SVS2" s="235"/>
      <c r="SVT2" s="235"/>
      <c r="SVU2" s="235"/>
      <c r="SVV2" s="235"/>
      <c r="SVW2" s="235"/>
      <c r="SVX2" s="235"/>
      <c r="SVY2" s="235"/>
      <c r="SVZ2" s="235"/>
      <c r="SWA2" s="235"/>
      <c r="SWB2" s="235"/>
      <c r="SWC2" s="235"/>
      <c r="SWD2" s="235"/>
      <c r="SWE2" s="235"/>
      <c r="SWF2" s="235"/>
      <c r="SWG2" s="235"/>
      <c r="SWH2" s="235"/>
      <c r="SWI2" s="235"/>
      <c r="SWJ2" s="235"/>
      <c r="SWK2" s="235"/>
      <c r="SWL2" s="235"/>
      <c r="SWM2" s="235"/>
      <c r="SWN2" s="235"/>
      <c r="SWO2" s="235"/>
      <c r="SWP2" s="235"/>
      <c r="SWQ2" s="235"/>
      <c r="SWR2" s="235"/>
      <c r="SWS2" s="235"/>
      <c r="SWT2" s="235"/>
      <c r="SWU2" s="235"/>
      <c r="SWV2" s="235"/>
      <c r="SWW2" s="235"/>
      <c r="SWX2" s="235"/>
      <c r="SWY2" s="235"/>
      <c r="SWZ2" s="235"/>
      <c r="SXA2" s="235"/>
      <c r="SXB2" s="235"/>
      <c r="SXC2" s="235"/>
      <c r="SXD2" s="235"/>
      <c r="SXE2" s="235"/>
      <c r="SXF2" s="235"/>
      <c r="SXG2" s="235"/>
      <c r="SXH2" s="235"/>
      <c r="SXI2" s="235"/>
      <c r="SXJ2" s="235"/>
      <c r="SXK2" s="235"/>
      <c r="SXL2" s="235"/>
      <c r="SXM2" s="235"/>
      <c r="SXN2" s="235"/>
      <c r="SXO2" s="235"/>
      <c r="SXP2" s="235"/>
      <c r="SXQ2" s="235"/>
      <c r="SXR2" s="235"/>
      <c r="SXS2" s="235"/>
      <c r="SXT2" s="235"/>
      <c r="SXU2" s="235"/>
      <c r="SXV2" s="235"/>
      <c r="SXW2" s="235"/>
      <c r="SXX2" s="235"/>
      <c r="SXY2" s="235"/>
      <c r="SXZ2" s="235"/>
      <c r="SYA2" s="235"/>
      <c r="SYB2" s="235"/>
      <c r="SYC2" s="235"/>
      <c r="SYD2" s="235"/>
      <c r="SYE2" s="235"/>
      <c r="SYF2" s="235"/>
      <c r="SYG2" s="235"/>
      <c r="SYH2" s="235"/>
      <c r="SYI2" s="235"/>
      <c r="SYJ2" s="235"/>
      <c r="SYK2" s="235"/>
      <c r="SYL2" s="235"/>
      <c r="SYM2" s="235"/>
      <c r="SYN2" s="235"/>
      <c r="SYO2" s="235"/>
      <c r="SYP2" s="235"/>
      <c r="SYQ2" s="235"/>
      <c r="SYR2" s="235"/>
      <c r="SYS2" s="235"/>
      <c r="SYT2" s="235"/>
      <c r="SYU2" s="235"/>
      <c r="SYV2" s="235"/>
      <c r="SYW2" s="235"/>
      <c r="SYX2" s="235"/>
      <c r="SYY2" s="235"/>
      <c r="SYZ2" s="235"/>
      <c r="SZA2" s="235"/>
      <c r="SZB2" s="235"/>
      <c r="SZC2" s="235"/>
      <c r="SZD2" s="235"/>
      <c r="SZE2" s="235"/>
      <c r="SZF2" s="235"/>
      <c r="SZG2" s="235"/>
      <c r="SZH2" s="235"/>
      <c r="SZI2" s="235"/>
      <c r="SZJ2" s="235"/>
      <c r="SZK2" s="235"/>
      <c r="SZL2" s="235"/>
      <c r="SZM2" s="235"/>
      <c r="SZN2" s="235"/>
      <c r="SZO2" s="235"/>
      <c r="SZP2" s="235"/>
      <c r="SZQ2" s="235"/>
      <c r="SZR2" s="235"/>
      <c r="SZS2" s="235"/>
      <c r="SZT2" s="235"/>
      <c r="SZU2" s="235"/>
      <c r="SZV2" s="235"/>
      <c r="SZW2" s="235"/>
      <c r="SZX2" s="235"/>
      <c r="SZY2" s="235"/>
      <c r="SZZ2" s="235"/>
      <c r="TAA2" s="235"/>
      <c r="TAB2" s="235"/>
      <c r="TAC2" s="235"/>
      <c r="TAD2" s="235"/>
      <c r="TAE2" s="235"/>
      <c r="TAF2" s="235"/>
      <c r="TAG2" s="235"/>
      <c r="TAH2" s="235"/>
      <c r="TAI2" s="235"/>
      <c r="TAJ2" s="235"/>
      <c r="TAK2" s="235"/>
      <c r="TAL2" s="235"/>
      <c r="TAM2" s="235"/>
      <c r="TAN2" s="235"/>
      <c r="TAO2" s="235"/>
      <c r="TAP2" s="235"/>
      <c r="TAQ2" s="235"/>
      <c r="TAR2" s="235"/>
      <c r="TAS2" s="235"/>
      <c r="TAT2" s="235"/>
      <c r="TAU2" s="235"/>
      <c r="TAV2" s="235"/>
      <c r="TAW2" s="235"/>
      <c r="TAX2" s="235"/>
      <c r="TAY2" s="235"/>
      <c r="TAZ2" s="235"/>
      <c r="TBA2" s="235"/>
      <c r="TBB2" s="235"/>
      <c r="TBC2" s="235"/>
      <c r="TBD2" s="235"/>
      <c r="TBE2" s="235"/>
      <c r="TBF2" s="235"/>
      <c r="TBG2" s="235"/>
      <c r="TBH2" s="235"/>
      <c r="TBI2" s="235"/>
      <c r="TBJ2" s="235"/>
      <c r="TBK2" s="235"/>
      <c r="TBL2" s="235"/>
      <c r="TBM2" s="235"/>
      <c r="TBN2" s="235"/>
      <c r="TBO2" s="235"/>
      <c r="TBP2" s="235"/>
      <c r="TBQ2" s="235"/>
      <c r="TBR2" s="235"/>
      <c r="TBS2" s="235"/>
      <c r="TBT2" s="235"/>
      <c r="TBU2" s="235"/>
      <c r="TBV2" s="235"/>
      <c r="TBW2" s="235"/>
      <c r="TBX2" s="235"/>
      <c r="TBY2" s="235"/>
      <c r="TBZ2" s="235"/>
      <c r="TCA2" s="235"/>
      <c r="TCB2" s="235"/>
      <c r="TCC2" s="235"/>
      <c r="TCD2" s="235"/>
      <c r="TCE2" s="235"/>
      <c r="TCF2" s="235"/>
      <c r="TCG2" s="235"/>
      <c r="TCH2" s="235"/>
      <c r="TCI2" s="235"/>
      <c r="TCJ2" s="235"/>
      <c r="TCK2" s="235"/>
      <c r="TCL2" s="235"/>
      <c r="TCM2" s="235"/>
      <c r="TCN2" s="235"/>
      <c r="TCO2" s="235"/>
      <c r="TCP2" s="235"/>
      <c r="TCQ2" s="235"/>
      <c r="TCR2" s="235"/>
      <c r="TCS2" s="235"/>
      <c r="TCT2" s="235"/>
      <c r="TCU2" s="235"/>
      <c r="TCV2" s="235"/>
      <c r="TCW2" s="235"/>
      <c r="TCX2" s="235"/>
      <c r="TCY2" s="235"/>
      <c r="TCZ2" s="235"/>
      <c r="TDA2" s="235"/>
      <c r="TDB2" s="235"/>
      <c r="TDC2" s="235"/>
      <c r="TDD2" s="235"/>
      <c r="TDE2" s="235"/>
      <c r="TDF2" s="235"/>
      <c r="TDG2" s="235"/>
      <c r="TDH2" s="235"/>
      <c r="TDI2" s="235"/>
      <c r="TDJ2" s="235"/>
      <c r="TDK2" s="235"/>
      <c r="TDL2" s="235"/>
      <c r="TDM2" s="235"/>
      <c r="TDN2" s="235"/>
      <c r="TDO2" s="235"/>
      <c r="TDP2" s="235"/>
      <c r="TDQ2" s="235"/>
      <c r="TDR2" s="235"/>
      <c r="TDS2" s="235"/>
      <c r="TDT2" s="235"/>
      <c r="TDU2" s="235"/>
      <c r="TDV2" s="235"/>
      <c r="TDW2" s="235"/>
      <c r="TDX2" s="235"/>
      <c r="TDY2" s="235"/>
      <c r="TDZ2" s="235"/>
      <c r="TEA2" s="235"/>
      <c r="TEB2" s="235"/>
      <c r="TEC2" s="235"/>
      <c r="TED2" s="235"/>
      <c r="TEE2" s="235"/>
      <c r="TEF2" s="235"/>
      <c r="TEG2" s="235"/>
      <c r="TEH2" s="235"/>
      <c r="TEI2" s="235"/>
      <c r="TEJ2" s="235"/>
      <c r="TEK2" s="235"/>
      <c r="TEL2" s="235"/>
      <c r="TEM2" s="235"/>
      <c r="TEN2" s="235"/>
      <c r="TEO2" s="235"/>
      <c r="TEP2" s="235"/>
      <c r="TEQ2" s="235"/>
      <c r="TER2" s="235"/>
      <c r="TES2" s="235"/>
      <c r="TET2" s="235"/>
      <c r="TEU2" s="235"/>
      <c r="TEV2" s="235"/>
      <c r="TEW2" s="235"/>
      <c r="TEX2" s="235"/>
      <c r="TEY2" s="235"/>
      <c r="TEZ2" s="235"/>
      <c r="TFA2" s="235"/>
      <c r="TFB2" s="235"/>
      <c r="TFC2" s="235"/>
      <c r="TFD2" s="235"/>
      <c r="TFE2" s="235"/>
      <c r="TFF2" s="235"/>
      <c r="TFG2" s="235"/>
      <c r="TFH2" s="235"/>
      <c r="TFI2" s="235"/>
      <c r="TFJ2" s="235"/>
      <c r="TFK2" s="235"/>
      <c r="TFL2" s="235"/>
      <c r="TFM2" s="235"/>
      <c r="TFN2" s="235"/>
      <c r="TFO2" s="235"/>
      <c r="TFP2" s="235"/>
      <c r="TFQ2" s="235"/>
      <c r="TFR2" s="235"/>
      <c r="TFS2" s="235"/>
      <c r="TFT2" s="235"/>
      <c r="TFU2" s="235"/>
      <c r="TFV2" s="235"/>
      <c r="TFW2" s="235"/>
      <c r="TFX2" s="235"/>
      <c r="TFY2" s="235"/>
      <c r="TFZ2" s="235"/>
      <c r="TGA2" s="235"/>
      <c r="TGB2" s="235"/>
      <c r="TGC2" s="235"/>
      <c r="TGD2" s="235"/>
      <c r="TGE2" s="235"/>
      <c r="TGF2" s="235"/>
      <c r="TGG2" s="235"/>
      <c r="TGH2" s="235"/>
      <c r="TGI2" s="235"/>
      <c r="TGJ2" s="235"/>
      <c r="TGK2" s="235"/>
      <c r="TGL2" s="235"/>
      <c r="TGM2" s="235"/>
      <c r="TGN2" s="235"/>
      <c r="TGO2" s="235"/>
      <c r="TGP2" s="235"/>
      <c r="TGQ2" s="235"/>
      <c r="TGR2" s="235"/>
      <c r="TGS2" s="235"/>
      <c r="TGT2" s="235"/>
      <c r="TGU2" s="235"/>
      <c r="TGV2" s="235"/>
      <c r="TGW2" s="235"/>
      <c r="TGX2" s="235"/>
      <c r="TGY2" s="235"/>
      <c r="TGZ2" s="235"/>
      <c r="THA2" s="235"/>
      <c r="THB2" s="235"/>
      <c r="THC2" s="235"/>
      <c r="THD2" s="235"/>
      <c r="THE2" s="235"/>
      <c r="THF2" s="235"/>
      <c r="THG2" s="235"/>
      <c r="THH2" s="235"/>
      <c r="THI2" s="235"/>
      <c r="THJ2" s="235"/>
      <c r="THK2" s="235"/>
      <c r="THL2" s="235"/>
      <c r="THM2" s="235"/>
      <c r="THN2" s="235"/>
      <c r="THO2" s="235"/>
      <c r="THP2" s="235"/>
      <c r="THQ2" s="235"/>
      <c r="THR2" s="235"/>
      <c r="THS2" s="235"/>
      <c r="THT2" s="235"/>
      <c r="THU2" s="235"/>
      <c r="THV2" s="235"/>
      <c r="THW2" s="235"/>
      <c r="THX2" s="235"/>
      <c r="THY2" s="235"/>
      <c r="THZ2" s="235"/>
      <c r="TIA2" s="235"/>
      <c r="TIB2" s="235"/>
      <c r="TIC2" s="235"/>
      <c r="TID2" s="235"/>
      <c r="TIE2" s="235"/>
      <c r="TIF2" s="235"/>
      <c r="TIG2" s="235"/>
      <c r="TIH2" s="235"/>
      <c r="TII2" s="235"/>
      <c r="TIJ2" s="235"/>
      <c r="TIK2" s="235"/>
      <c r="TIL2" s="235"/>
      <c r="TIM2" s="235"/>
      <c r="TIN2" s="235"/>
      <c r="TIO2" s="235"/>
      <c r="TIP2" s="235"/>
      <c r="TIQ2" s="235"/>
      <c r="TIR2" s="235"/>
      <c r="TIS2" s="235"/>
      <c r="TIT2" s="235"/>
      <c r="TIU2" s="235"/>
      <c r="TIV2" s="235"/>
      <c r="TIW2" s="235"/>
      <c r="TIX2" s="235"/>
      <c r="TIY2" s="235"/>
      <c r="TIZ2" s="235"/>
      <c r="TJA2" s="235"/>
      <c r="TJB2" s="235"/>
      <c r="TJC2" s="235"/>
      <c r="TJD2" s="235"/>
      <c r="TJE2" s="235"/>
      <c r="TJF2" s="235"/>
      <c r="TJG2" s="235"/>
      <c r="TJH2" s="235"/>
      <c r="TJI2" s="235"/>
      <c r="TJJ2" s="235"/>
      <c r="TJK2" s="235"/>
      <c r="TJL2" s="235"/>
      <c r="TJM2" s="235"/>
      <c r="TJN2" s="235"/>
      <c r="TJO2" s="235"/>
      <c r="TJP2" s="235"/>
      <c r="TJQ2" s="235"/>
      <c r="TJR2" s="235"/>
      <c r="TJS2" s="235"/>
      <c r="TJT2" s="235"/>
      <c r="TJU2" s="235"/>
      <c r="TJV2" s="235"/>
      <c r="TJW2" s="235"/>
      <c r="TJX2" s="235"/>
      <c r="TJY2" s="235"/>
      <c r="TJZ2" s="235"/>
      <c r="TKA2" s="235"/>
      <c r="TKB2" s="235"/>
      <c r="TKC2" s="235"/>
      <c r="TKD2" s="235"/>
      <c r="TKE2" s="235"/>
      <c r="TKF2" s="235"/>
      <c r="TKG2" s="235"/>
      <c r="TKH2" s="235"/>
      <c r="TKI2" s="235"/>
      <c r="TKJ2" s="235"/>
      <c r="TKK2" s="235"/>
      <c r="TKL2" s="235"/>
      <c r="TKM2" s="235"/>
      <c r="TKN2" s="235"/>
      <c r="TKO2" s="235"/>
      <c r="TKP2" s="235"/>
      <c r="TKQ2" s="235"/>
      <c r="TKR2" s="235"/>
      <c r="TKS2" s="235"/>
      <c r="TKT2" s="235"/>
      <c r="TKU2" s="235"/>
      <c r="TKV2" s="235"/>
      <c r="TKW2" s="235"/>
      <c r="TKX2" s="235"/>
      <c r="TKY2" s="235"/>
      <c r="TKZ2" s="235"/>
      <c r="TLA2" s="235"/>
      <c r="TLB2" s="235"/>
      <c r="TLC2" s="235"/>
      <c r="TLD2" s="235"/>
      <c r="TLE2" s="235"/>
      <c r="TLF2" s="235"/>
      <c r="TLG2" s="235"/>
      <c r="TLH2" s="235"/>
      <c r="TLI2" s="235"/>
      <c r="TLJ2" s="235"/>
      <c r="TLK2" s="235"/>
      <c r="TLL2" s="235"/>
      <c r="TLM2" s="235"/>
      <c r="TLN2" s="235"/>
      <c r="TLO2" s="235"/>
      <c r="TLP2" s="235"/>
      <c r="TLQ2" s="235"/>
      <c r="TLR2" s="235"/>
      <c r="TLS2" s="235"/>
      <c r="TLT2" s="235"/>
      <c r="TLU2" s="235"/>
      <c r="TLV2" s="235"/>
      <c r="TLW2" s="235"/>
      <c r="TLX2" s="235"/>
      <c r="TLY2" s="235"/>
      <c r="TLZ2" s="235"/>
      <c r="TMA2" s="235"/>
      <c r="TMB2" s="235"/>
      <c r="TMC2" s="235"/>
      <c r="TMD2" s="235"/>
      <c r="TME2" s="235"/>
      <c r="TMF2" s="235"/>
      <c r="TMG2" s="235"/>
      <c r="TMH2" s="235"/>
      <c r="TMI2" s="235"/>
      <c r="TMJ2" s="235"/>
      <c r="TMK2" s="235"/>
      <c r="TML2" s="235"/>
      <c r="TMM2" s="235"/>
      <c r="TMN2" s="235"/>
      <c r="TMO2" s="235"/>
      <c r="TMP2" s="235"/>
      <c r="TMQ2" s="235"/>
      <c r="TMR2" s="235"/>
      <c r="TMS2" s="235"/>
      <c r="TMT2" s="235"/>
      <c r="TMU2" s="235"/>
      <c r="TMV2" s="235"/>
      <c r="TMW2" s="235"/>
      <c r="TMX2" s="235"/>
      <c r="TMY2" s="235"/>
      <c r="TMZ2" s="235"/>
      <c r="TNA2" s="235"/>
      <c r="TNB2" s="235"/>
      <c r="TNC2" s="235"/>
      <c r="TND2" s="235"/>
      <c r="TNE2" s="235"/>
      <c r="TNF2" s="235"/>
      <c r="TNG2" s="235"/>
      <c r="TNH2" s="235"/>
      <c r="TNI2" s="235"/>
      <c r="TNJ2" s="235"/>
      <c r="TNK2" s="235"/>
      <c r="TNL2" s="235"/>
      <c r="TNM2" s="235"/>
      <c r="TNN2" s="235"/>
      <c r="TNO2" s="235"/>
      <c r="TNP2" s="235"/>
      <c r="TNQ2" s="235"/>
      <c r="TNR2" s="235"/>
      <c r="TNS2" s="235"/>
      <c r="TNT2" s="235"/>
      <c r="TNU2" s="235"/>
      <c r="TNV2" s="235"/>
      <c r="TNW2" s="235"/>
      <c r="TNX2" s="235"/>
      <c r="TNY2" s="235"/>
      <c r="TNZ2" s="235"/>
      <c r="TOA2" s="235"/>
      <c r="TOB2" s="235"/>
      <c r="TOC2" s="235"/>
      <c r="TOD2" s="235"/>
      <c r="TOE2" s="235"/>
      <c r="TOF2" s="235"/>
      <c r="TOG2" s="235"/>
      <c r="TOH2" s="235"/>
      <c r="TOI2" s="235"/>
      <c r="TOJ2" s="235"/>
      <c r="TOK2" s="235"/>
      <c r="TOL2" s="235"/>
      <c r="TOM2" s="235"/>
      <c r="TON2" s="235"/>
      <c r="TOO2" s="235"/>
      <c r="TOP2" s="235"/>
      <c r="TOQ2" s="235"/>
      <c r="TOR2" s="235"/>
      <c r="TOS2" s="235"/>
      <c r="TOT2" s="235"/>
      <c r="TOU2" s="235"/>
      <c r="TOV2" s="235"/>
      <c r="TOW2" s="235"/>
      <c r="TOX2" s="235"/>
      <c r="TOY2" s="235"/>
      <c r="TOZ2" s="235"/>
      <c r="TPA2" s="235"/>
      <c r="TPB2" s="235"/>
      <c r="TPC2" s="235"/>
      <c r="TPD2" s="235"/>
      <c r="TPE2" s="235"/>
      <c r="TPF2" s="235"/>
      <c r="TPG2" s="235"/>
      <c r="TPH2" s="235"/>
      <c r="TPI2" s="235"/>
      <c r="TPJ2" s="235"/>
      <c r="TPK2" s="235"/>
      <c r="TPL2" s="235"/>
      <c r="TPM2" s="235"/>
      <c r="TPN2" s="235"/>
      <c r="TPO2" s="235"/>
      <c r="TPP2" s="235"/>
      <c r="TPQ2" s="235"/>
      <c r="TPR2" s="235"/>
      <c r="TPS2" s="235"/>
      <c r="TPT2" s="235"/>
      <c r="TPU2" s="235"/>
      <c r="TPV2" s="235"/>
      <c r="TPW2" s="235"/>
      <c r="TPX2" s="235"/>
      <c r="TPY2" s="235"/>
      <c r="TPZ2" s="235"/>
      <c r="TQA2" s="235"/>
      <c r="TQB2" s="235"/>
      <c r="TQC2" s="235"/>
      <c r="TQD2" s="235"/>
      <c r="TQE2" s="235"/>
      <c r="TQF2" s="235"/>
      <c r="TQG2" s="235"/>
      <c r="TQH2" s="235"/>
      <c r="TQI2" s="235"/>
      <c r="TQJ2" s="235"/>
      <c r="TQK2" s="235"/>
      <c r="TQL2" s="235"/>
      <c r="TQM2" s="235"/>
      <c r="TQN2" s="235"/>
      <c r="TQO2" s="235"/>
      <c r="TQP2" s="235"/>
      <c r="TQQ2" s="235"/>
      <c r="TQR2" s="235"/>
      <c r="TQS2" s="235"/>
      <c r="TQT2" s="235"/>
      <c r="TQU2" s="235"/>
      <c r="TQV2" s="235"/>
      <c r="TQW2" s="235"/>
      <c r="TQX2" s="235"/>
      <c r="TQY2" s="235"/>
      <c r="TQZ2" s="235"/>
      <c r="TRA2" s="235"/>
      <c r="TRB2" s="235"/>
      <c r="TRC2" s="235"/>
      <c r="TRD2" s="235"/>
      <c r="TRE2" s="235"/>
      <c r="TRF2" s="235"/>
      <c r="TRG2" s="235"/>
      <c r="TRH2" s="235"/>
      <c r="TRI2" s="235"/>
      <c r="TRJ2" s="235"/>
      <c r="TRK2" s="235"/>
      <c r="TRL2" s="235"/>
      <c r="TRM2" s="235"/>
      <c r="TRN2" s="235"/>
      <c r="TRO2" s="235"/>
      <c r="TRP2" s="235"/>
      <c r="TRQ2" s="235"/>
      <c r="TRR2" s="235"/>
      <c r="TRS2" s="235"/>
      <c r="TRT2" s="235"/>
      <c r="TRU2" s="235"/>
      <c r="TRV2" s="235"/>
      <c r="TRW2" s="235"/>
      <c r="TRX2" s="235"/>
      <c r="TRY2" s="235"/>
      <c r="TRZ2" s="235"/>
      <c r="TSA2" s="235"/>
      <c r="TSB2" s="235"/>
      <c r="TSC2" s="235"/>
      <c r="TSD2" s="235"/>
      <c r="TSE2" s="235"/>
      <c r="TSF2" s="235"/>
      <c r="TSG2" s="235"/>
      <c r="TSH2" s="235"/>
      <c r="TSI2" s="235"/>
      <c r="TSJ2" s="235"/>
      <c r="TSK2" s="235"/>
      <c r="TSL2" s="235"/>
      <c r="TSM2" s="235"/>
      <c r="TSN2" s="235"/>
      <c r="TSO2" s="235"/>
      <c r="TSP2" s="235"/>
      <c r="TSQ2" s="235"/>
      <c r="TSR2" s="235"/>
      <c r="TSS2" s="235"/>
      <c r="TST2" s="235"/>
      <c r="TSU2" s="235"/>
      <c r="TSV2" s="235"/>
      <c r="TSW2" s="235"/>
      <c r="TSX2" s="235"/>
      <c r="TSY2" s="235"/>
      <c r="TSZ2" s="235"/>
      <c r="TTA2" s="235"/>
      <c r="TTB2" s="235"/>
      <c r="TTC2" s="235"/>
      <c r="TTD2" s="235"/>
      <c r="TTE2" s="235"/>
      <c r="TTF2" s="235"/>
      <c r="TTG2" s="235"/>
      <c r="TTH2" s="235"/>
      <c r="TTI2" s="235"/>
      <c r="TTJ2" s="235"/>
      <c r="TTK2" s="235"/>
      <c r="TTL2" s="235"/>
      <c r="TTM2" s="235"/>
      <c r="TTN2" s="235"/>
      <c r="TTO2" s="235"/>
      <c r="TTP2" s="235"/>
      <c r="TTQ2" s="235"/>
      <c r="TTR2" s="235"/>
      <c r="TTS2" s="235"/>
      <c r="TTT2" s="235"/>
      <c r="TTU2" s="235"/>
      <c r="TTV2" s="235"/>
      <c r="TTW2" s="235"/>
      <c r="TTX2" s="235"/>
      <c r="TTY2" s="235"/>
      <c r="TTZ2" s="235"/>
      <c r="TUA2" s="235"/>
      <c r="TUB2" s="235"/>
      <c r="TUC2" s="235"/>
      <c r="TUD2" s="235"/>
      <c r="TUE2" s="235"/>
      <c r="TUF2" s="235"/>
      <c r="TUG2" s="235"/>
      <c r="TUH2" s="235"/>
      <c r="TUI2" s="235"/>
      <c r="TUJ2" s="235"/>
      <c r="TUK2" s="235"/>
      <c r="TUL2" s="235"/>
      <c r="TUM2" s="235"/>
      <c r="TUN2" s="235"/>
      <c r="TUO2" s="235"/>
      <c r="TUP2" s="235"/>
      <c r="TUQ2" s="235"/>
      <c r="TUR2" s="235"/>
      <c r="TUS2" s="235"/>
      <c r="TUT2" s="235"/>
      <c r="TUU2" s="235"/>
      <c r="TUV2" s="235"/>
      <c r="TUW2" s="235"/>
      <c r="TUX2" s="235"/>
      <c r="TUY2" s="235"/>
      <c r="TUZ2" s="235"/>
      <c r="TVA2" s="235"/>
      <c r="TVB2" s="235"/>
      <c r="TVC2" s="235"/>
      <c r="TVD2" s="235"/>
      <c r="TVE2" s="235"/>
      <c r="TVF2" s="235"/>
      <c r="TVG2" s="235"/>
      <c r="TVH2" s="235"/>
      <c r="TVI2" s="235"/>
      <c r="TVJ2" s="235"/>
      <c r="TVK2" s="235"/>
      <c r="TVL2" s="235"/>
      <c r="TVM2" s="235"/>
      <c r="TVN2" s="235"/>
      <c r="TVO2" s="235"/>
      <c r="TVP2" s="235"/>
      <c r="TVQ2" s="235"/>
      <c r="TVR2" s="235"/>
      <c r="TVS2" s="235"/>
      <c r="TVT2" s="235"/>
      <c r="TVU2" s="235"/>
      <c r="TVV2" s="235"/>
      <c r="TVW2" s="235"/>
      <c r="TVX2" s="235"/>
      <c r="TVY2" s="235"/>
      <c r="TVZ2" s="235"/>
      <c r="TWA2" s="235"/>
      <c r="TWB2" s="235"/>
      <c r="TWC2" s="235"/>
      <c r="TWD2" s="235"/>
      <c r="TWE2" s="235"/>
      <c r="TWF2" s="235"/>
      <c r="TWG2" s="235"/>
      <c r="TWH2" s="235"/>
      <c r="TWI2" s="235"/>
      <c r="TWJ2" s="235"/>
      <c r="TWK2" s="235"/>
      <c r="TWL2" s="235"/>
      <c r="TWM2" s="235"/>
      <c r="TWN2" s="235"/>
      <c r="TWO2" s="235"/>
      <c r="TWP2" s="235"/>
      <c r="TWQ2" s="235"/>
      <c r="TWR2" s="235"/>
      <c r="TWS2" s="235"/>
      <c r="TWT2" s="235"/>
      <c r="TWU2" s="235"/>
      <c r="TWV2" s="235"/>
      <c r="TWW2" s="235"/>
      <c r="TWX2" s="235"/>
      <c r="TWY2" s="235"/>
      <c r="TWZ2" s="235"/>
      <c r="TXA2" s="235"/>
      <c r="TXB2" s="235"/>
      <c r="TXC2" s="235"/>
      <c r="TXD2" s="235"/>
      <c r="TXE2" s="235"/>
      <c r="TXF2" s="235"/>
      <c r="TXG2" s="235"/>
      <c r="TXH2" s="235"/>
      <c r="TXI2" s="235"/>
      <c r="TXJ2" s="235"/>
      <c r="TXK2" s="235"/>
      <c r="TXL2" s="235"/>
      <c r="TXM2" s="235"/>
      <c r="TXN2" s="235"/>
      <c r="TXO2" s="235"/>
      <c r="TXP2" s="235"/>
      <c r="TXQ2" s="235"/>
      <c r="TXR2" s="235"/>
      <c r="TXS2" s="235"/>
      <c r="TXT2" s="235"/>
      <c r="TXU2" s="235"/>
      <c r="TXV2" s="235"/>
      <c r="TXW2" s="235"/>
      <c r="TXX2" s="235"/>
      <c r="TXY2" s="235"/>
      <c r="TXZ2" s="235"/>
      <c r="TYA2" s="235"/>
      <c r="TYB2" s="235"/>
      <c r="TYC2" s="235"/>
      <c r="TYD2" s="235"/>
      <c r="TYE2" s="235"/>
      <c r="TYF2" s="235"/>
      <c r="TYG2" s="235"/>
      <c r="TYH2" s="235"/>
      <c r="TYI2" s="235"/>
      <c r="TYJ2" s="235"/>
      <c r="TYK2" s="235"/>
      <c r="TYL2" s="235"/>
      <c r="TYM2" s="235"/>
      <c r="TYN2" s="235"/>
      <c r="TYO2" s="235"/>
      <c r="TYP2" s="235"/>
      <c r="TYQ2" s="235"/>
      <c r="TYR2" s="235"/>
      <c r="TYS2" s="235"/>
      <c r="TYT2" s="235"/>
      <c r="TYU2" s="235"/>
      <c r="TYV2" s="235"/>
      <c r="TYW2" s="235"/>
      <c r="TYX2" s="235"/>
      <c r="TYY2" s="235"/>
      <c r="TYZ2" s="235"/>
      <c r="TZA2" s="235"/>
      <c r="TZB2" s="235"/>
      <c r="TZC2" s="235"/>
      <c r="TZD2" s="235"/>
      <c r="TZE2" s="235"/>
      <c r="TZF2" s="235"/>
      <c r="TZG2" s="235"/>
      <c r="TZH2" s="235"/>
      <c r="TZI2" s="235"/>
      <c r="TZJ2" s="235"/>
      <c r="TZK2" s="235"/>
      <c r="TZL2" s="235"/>
      <c r="TZM2" s="235"/>
      <c r="TZN2" s="235"/>
      <c r="TZO2" s="235"/>
      <c r="TZP2" s="235"/>
      <c r="TZQ2" s="235"/>
      <c r="TZR2" s="235"/>
      <c r="TZS2" s="235"/>
      <c r="TZT2" s="235"/>
      <c r="TZU2" s="235"/>
      <c r="TZV2" s="235"/>
      <c r="TZW2" s="235"/>
      <c r="TZX2" s="235"/>
      <c r="TZY2" s="235"/>
      <c r="TZZ2" s="235"/>
      <c r="UAA2" s="235"/>
      <c r="UAB2" s="235"/>
      <c r="UAC2" s="235"/>
      <c r="UAD2" s="235"/>
      <c r="UAE2" s="235"/>
      <c r="UAF2" s="235"/>
      <c r="UAG2" s="235"/>
      <c r="UAH2" s="235"/>
      <c r="UAI2" s="235"/>
      <c r="UAJ2" s="235"/>
      <c r="UAK2" s="235"/>
      <c r="UAL2" s="235"/>
      <c r="UAM2" s="235"/>
      <c r="UAN2" s="235"/>
      <c r="UAO2" s="235"/>
      <c r="UAP2" s="235"/>
      <c r="UAQ2" s="235"/>
      <c r="UAR2" s="235"/>
      <c r="UAS2" s="235"/>
      <c r="UAT2" s="235"/>
      <c r="UAU2" s="235"/>
      <c r="UAV2" s="235"/>
      <c r="UAW2" s="235"/>
      <c r="UAX2" s="235"/>
      <c r="UAY2" s="235"/>
      <c r="UAZ2" s="235"/>
      <c r="UBA2" s="235"/>
      <c r="UBB2" s="235"/>
      <c r="UBC2" s="235"/>
      <c r="UBD2" s="235"/>
      <c r="UBE2" s="235"/>
      <c r="UBF2" s="235"/>
      <c r="UBG2" s="235"/>
      <c r="UBH2" s="235"/>
      <c r="UBI2" s="235"/>
      <c r="UBJ2" s="235"/>
      <c r="UBK2" s="235"/>
      <c r="UBL2" s="235"/>
      <c r="UBM2" s="235"/>
      <c r="UBN2" s="235"/>
      <c r="UBO2" s="235"/>
      <c r="UBP2" s="235"/>
      <c r="UBQ2" s="235"/>
      <c r="UBR2" s="235"/>
      <c r="UBS2" s="235"/>
      <c r="UBT2" s="235"/>
      <c r="UBU2" s="235"/>
      <c r="UBV2" s="235"/>
      <c r="UBW2" s="235"/>
      <c r="UBX2" s="235"/>
      <c r="UBY2" s="235"/>
      <c r="UBZ2" s="235"/>
      <c r="UCA2" s="235"/>
      <c r="UCB2" s="235"/>
      <c r="UCC2" s="235"/>
      <c r="UCD2" s="235"/>
      <c r="UCE2" s="235"/>
      <c r="UCF2" s="235"/>
      <c r="UCG2" s="235"/>
      <c r="UCH2" s="235"/>
      <c r="UCI2" s="235"/>
      <c r="UCJ2" s="235"/>
      <c r="UCK2" s="235"/>
      <c r="UCL2" s="235"/>
      <c r="UCM2" s="235"/>
      <c r="UCN2" s="235"/>
      <c r="UCO2" s="235"/>
      <c r="UCP2" s="235"/>
      <c r="UCQ2" s="235"/>
      <c r="UCR2" s="235"/>
      <c r="UCS2" s="235"/>
      <c r="UCT2" s="235"/>
      <c r="UCU2" s="235"/>
      <c r="UCV2" s="235"/>
      <c r="UCW2" s="235"/>
      <c r="UCX2" s="235"/>
      <c r="UCY2" s="235"/>
      <c r="UCZ2" s="235"/>
      <c r="UDA2" s="235"/>
      <c r="UDB2" s="235"/>
      <c r="UDC2" s="235"/>
      <c r="UDD2" s="235"/>
      <c r="UDE2" s="235"/>
      <c r="UDF2" s="235"/>
      <c r="UDG2" s="235"/>
      <c r="UDH2" s="235"/>
      <c r="UDI2" s="235"/>
      <c r="UDJ2" s="235"/>
      <c r="UDK2" s="235"/>
      <c r="UDL2" s="235"/>
      <c r="UDM2" s="235"/>
      <c r="UDN2" s="235"/>
      <c r="UDO2" s="235"/>
      <c r="UDP2" s="235"/>
      <c r="UDQ2" s="235"/>
      <c r="UDR2" s="235"/>
      <c r="UDS2" s="235"/>
      <c r="UDT2" s="235"/>
      <c r="UDU2" s="235"/>
      <c r="UDV2" s="235"/>
      <c r="UDW2" s="235"/>
      <c r="UDX2" s="235"/>
      <c r="UDY2" s="235"/>
      <c r="UDZ2" s="235"/>
      <c r="UEA2" s="235"/>
      <c r="UEB2" s="235"/>
      <c r="UEC2" s="235"/>
      <c r="UED2" s="235"/>
      <c r="UEE2" s="235"/>
      <c r="UEF2" s="235"/>
      <c r="UEG2" s="235"/>
      <c r="UEH2" s="235"/>
      <c r="UEI2" s="235"/>
      <c r="UEJ2" s="235"/>
      <c r="UEK2" s="235"/>
      <c r="UEL2" s="235"/>
      <c r="UEM2" s="235"/>
      <c r="UEN2" s="235"/>
      <c r="UEO2" s="235"/>
      <c r="UEP2" s="235"/>
      <c r="UEQ2" s="235"/>
      <c r="UER2" s="235"/>
      <c r="UES2" s="235"/>
      <c r="UET2" s="235"/>
      <c r="UEU2" s="235"/>
      <c r="UEV2" s="235"/>
      <c r="UEW2" s="235"/>
      <c r="UEX2" s="235"/>
      <c r="UEY2" s="235"/>
      <c r="UEZ2" s="235"/>
      <c r="UFA2" s="235"/>
      <c r="UFB2" s="235"/>
      <c r="UFC2" s="235"/>
      <c r="UFD2" s="235"/>
      <c r="UFE2" s="235"/>
      <c r="UFF2" s="235"/>
      <c r="UFG2" s="235"/>
      <c r="UFH2" s="235"/>
      <c r="UFI2" s="235"/>
      <c r="UFJ2" s="235"/>
      <c r="UFK2" s="235"/>
      <c r="UFL2" s="235"/>
      <c r="UFM2" s="235"/>
      <c r="UFN2" s="235"/>
      <c r="UFO2" s="235"/>
      <c r="UFP2" s="235"/>
      <c r="UFQ2" s="235"/>
      <c r="UFR2" s="235"/>
      <c r="UFS2" s="235"/>
      <c r="UFT2" s="235"/>
      <c r="UFU2" s="235"/>
      <c r="UFV2" s="235"/>
      <c r="UFW2" s="235"/>
      <c r="UFX2" s="235"/>
      <c r="UFY2" s="235"/>
      <c r="UFZ2" s="235"/>
      <c r="UGA2" s="235"/>
      <c r="UGB2" s="235"/>
      <c r="UGC2" s="235"/>
      <c r="UGD2" s="235"/>
      <c r="UGE2" s="235"/>
      <c r="UGF2" s="235"/>
      <c r="UGG2" s="235"/>
      <c r="UGH2" s="235"/>
      <c r="UGI2" s="235"/>
      <c r="UGJ2" s="235"/>
      <c r="UGK2" s="235"/>
      <c r="UGL2" s="235"/>
      <c r="UGM2" s="235"/>
      <c r="UGN2" s="235"/>
      <c r="UGO2" s="235"/>
      <c r="UGP2" s="235"/>
      <c r="UGQ2" s="235"/>
      <c r="UGR2" s="235"/>
      <c r="UGS2" s="235"/>
      <c r="UGT2" s="235"/>
      <c r="UGU2" s="235"/>
      <c r="UGV2" s="235"/>
      <c r="UGW2" s="235"/>
      <c r="UGX2" s="235"/>
      <c r="UGY2" s="235"/>
      <c r="UGZ2" s="235"/>
      <c r="UHA2" s="235"/>
      <c r="UHB2" s="235"/>
      <c r="UHC2" s="235"/>
      <c r="UHD2" s="235"/>
      <c r="UHE2" s="235"/>
      <c r="UHF2" s="235"/>
      <c r="UHG2" s="235"/>
      <c r="UHH2" s="235"/>
      <c r="UHI2" s="235"/>
      <c r="UHJ2" s="235"/>
      <c r="UHK2" s="235"/>
      <c r="UHL2" s="235"/>
      <c r="UHM2" s="235"/>
      <c r="UHN2" s="235"/>
      <c r="UHO2" s="235"/>
      <c r="UHP2" s="235"/>
      <c r="UHQ2" s="235"/>
      <c r="UHR2" s="235"/>
      <c r="UHS2" s="235"/>
      <c r="UHT2" s="235"/>
      <c r="UHU2" s="235"/>
      <c r="UHV2" s="235"/>
      <c r="UHW2" s="235"/>
      <c r="UHX2" s="235"/>
      <c r="UHY2" s="235"/>
      <c r="UHZ2" s="235"/>
      <c r="UIA2" s="235"/>
      <c r="UIB2" s="235"/>
      <c r="UIC2" s="235"/>
      <c r="UID2" s="235"/>
      <c r="UIE2" s="235"/>
      <c r="UIF2" s="235"/>
      <c r="UIG2" s="235"/>
      <c r="UIH2" s="235"/>
      <c r="UII2" s="235"/>
      <c r="UIJ2" s="235"/>
      <c r="UIK2" s="235"/>
      <c r="UIL2" s="235"/>
      <c r="UIM2" s="235"/>
      <c r="UIN2" s="235"/>
      <c r="UIO2" s="235"/>
      <c r="UIP2" s="235"/>
      <c r="UIQ2" s="235"/>
      <c r="UIR2" s="235"/>
      <c r="UIS2" s="235"/>
      <c r="UIT2" s="235"/>
      <c r="UIU2" s="235"/>
      <c r="UIV2" s="235"/>
      <c r="UIW2" s="235"/>
      <c r="UIX2" s="235"/>
      <c r="UIY2" s="235"/>
      <c r="UIZ2" s="235"/>
      <c r="UJA2" s="235"/>
      <c r="UJB2" s="235"/>
      <c r="UJC2" s="235"/>
      <c r="UJD2" s="235"/>
      <c r="UJE2" s="235"/>
      <c r="UJF2" s="235"/>
      <c r="UJG2" s="235"/>
      <c r="UJH2" s="235"/>
      <c r="UJI2" s="235"/>
      <c r="UJJ2" s="235"/>
      <c r="UJK2" s="235"/>
      <c r="UJL2" s="235"/>
      <c r="UJM2" s="235"/>
      <c r="UJN2" s="235"/>
      <c r="UJO2" s="235"/>
      <c r="UJP2" s="235"/>
      <c r="UJQ2" s="235"/>
      <c r="UJR2" s="235"/>
      <c r="UJS2" s="235"/>
      <c r="UJT2" s="235"/>
      <c r="UJU2" s="235"/>
      <c r="UJV2" s="235"/>
      <c r="UJW2" s="235"/>
      <c r="UJX2" s="235"/>
      <c r="UJY2" s="235"/>
      <c r="UJZ2" s="235"/>
      <c r="UKA2" s="235"/>
      <c r="UKB2" s="235"/>
      <c r="UKC2" s="235"/>
      <c r="UKD2" s="235"/>
      <c r="UKE2" s="235"/>
      <c r="UKF2" s="235"/>
      <c r="UKG2" s="235"/>
      <c r="UKH2" s="235"/>
      <c r="UKI2" s="235"/>
      <c r="UKJ2" s="235"/>
      <c r="UKK2" s="235"/>
      <c r="UKL2" s="235"/>
      <c r="UKM2" s="235"/>
      <c r="UKN2" s="235"/>
      <c r="UKO2" s="235"/>
      <c r="UKP2" s="235"/>
      <c r="UKQ2" s="235"/>
      <c r="UKR2" s="235"/>
      <c r="UKS2" s="235"/>
      <c r="UKT2" s="235"/>
      <c r="UKU2" s="235"/>
      <c r="UKV2" s="235"/>
      <c r="UKW2" s="235"/>
      <c r="UKX2" s="235"/>
      <c r="UKY2" s="235"/>
      <c r="UKZ2" s="235"/>
      <c r="ULA2" s="235"/>
      <c r="ULB2" s="235"/>
      <c r="ULC2" s="235"/>
      <c r="ULD2" s="235"/>
      <c r="ULE2" s="235"/>
      <c r="ULF2" s="235"/>
      <c r="ULG2" s="235"/>
      <c r="ULH2" s="235"/>
      <c r="ULI2" s="235"/>
      <c r="ULJ2" s="235"/>
      <c r="ULK2" s="235"/>
      <c r="ULL2" s="235"/>
      <c r="ULM2" s="235"/>
      <c r="ULN2" s="235"/>
      <c r="ULO2" s="235"/>
      <c r="ULP2" s="235"/>
      <c r="ULQ2" s="235"/>
      <c r="ULR2" s="235"/>
      <c r="ULS2" s="235"/>
      <c r="ULT2" s="235"/>
      <c r="ULU2" s="235"/>
      <c r="ULV2" s="235"/>
      <c r="ULW2" s="235"/>
      <c r="ULX2" s="235"/>
      <c r="ULY2" s="235"/>
      <c r="ULZ2" s="235"/>
      <c r="UMA2" s="235"/>
      <c r="UMB2" s="235"/>
      <c r="UMC2" s="235"/>
      <c r="UMD2" s="235"/>
      <c r="UME2" s="235"/>
      <c r="UMF2" s="235"/>
      <c r="UMG2" s="235"/>
      <c r="UMH2" s="235"/>
      <c r="UMI2" s="235"/>
      <c r="UMJ2" s="235"/>
      <c r="UMK2" s="235"/>
      <c r="UML2" s="235"/>
      <c r="UMM2" s="235"/>
      <c r="UMN2" s="235"/>
      <c r="UMO2" s="235"/>
      <c r="UMP2" s="235"/>
      <c r="UMQ2" s="235"/>
      <c r="UMR2" s="235"/>
      <c r="UMS2" s="235"/>
      <c r="UMT2" s="235"/>
      <c r="UMU2" s="235"/>
      <c r="UMV2" s="235"/>
      <c r="UMW2" s="235"/>
      <c r="UMX2" s="235"/>
      <c r="UMY2" s="235"/>
      <c r="UMZ2" s="235"/>
      <c r="UNA2" s="235"/>
      <c r="UNB2" s="235"/>
      <c r="UNC2" s="235"/>
      <c r="UND2" s="235"/>
      <c r="UNE2" s="235"/>
      <c r="UNF2" s="235"/>
      <c r="UNG2" s="235"/>
      <c r="UNH2" s="235"/>
      <c r="UNI2" s="235"/>
      <c r="UNJ2" s="235"/>
      <c r="UNK2" s="235"/>
      <c r="UNL2" s="235"/>
      <c r="UNM2" s="235"/>
      <c r="UNN2" s="235"/>
      <c r="UNO2" s="235"/>
      <c r="UNP2" s="235"/>
      <c r="UNQ2" s="235"/>
      <c r="UNR2" s="235"/>
      <c r="UNS2" s="235"/>
      <c r="UNT2" s="235"/>
      <c r="UNU2" s="235"/>
      <c r="UNV2" s="235"/>
      <c r="UNW2" s="235"/>
      <c r="UNX2" s="235"/>
      <c r="UNY2" s="235"/>
      <c r="UNZ2" s="235"/>
      <c r="UOA2" s="235"/>
      <c r="UOB2" s="235"/>
      <c r="UOC2" s="235"/>
      <c r="UOD2" s="235"/>
      <c r="UOE2" s="235"/>
      <c r="UOF2" s="235"/>
      <c r="UOG2" s="235"/>
      <c r="UOH2" s="235"/>
      <c r="UOI2" s="235"/>
      <c r="UOJ2" s="235"/>
      <c r="UOK2" s="235"/>
      <c r="UOL2" s="235"/>
      <c r="UOM2" s="235"/>
      <c r="UON2" s="235"/>
      <c r="UOO2" s="235"/>
      <c r="UOP2" s="235"/>
      <c r="UOQ2" s="235"/>
      <c r="UOR2" s="235"/>
      <c r="UOS2" s="235"/>
      <c r="UOT2" s="235"/>
      <c r="UOU2" s="235"/>
      <c r="UOV2" s="235"/>
      <c r="UOW2" s="235"/>
      <c r="UOX2" s="235"/>
      <c r="UOY2" s="235"/>
      <c r="UOZ2" s="235"/>
      <c r="UPA2" s="235"/>
      <c r="UPB2" s="235"/>
      <c r="UPC2" s="235"/>
      <c r="UPD2" s="235"/>
      <c r="UPE2" s="235"/>
      <c r="UPF2" s="235"/>
      <c r="UPG2" s="235"/>
      <c r="UPH2" s="235"/>
      <c r="UPI2" s="235"/>
      <c r="UPJ2" s="235"/>
      <c r="UPK2" s="235"/>
      <c r="UPL2" s="235"/>
      <c r="UPM2" s="235"/>
      <c r="UPN2" s="235"/>
      <c r="UPO2" s="235"/>
      <c r="UPP2" s="235"/>
      <c r="UPQ2" s="235"/>
      <c r="UPR2" s="235"/>
      <c r="UPS2" s="235"/>
      <c r="UPT2" s="235"/>
      <c r="UPU2" s="235"/>
      <c r="UPV2" s="235"/>
      <c r="UPW2" s="235"/>
      <c r="UPX2" s="235"/>
      <c r="UPY2" s="235"/>
      <c r="UPZ2" s="235"/>
      <c r="UQA2" s="235"/>
      <c r="UQB2" s="235"/>
      <c r="UQC2" s="235"/>
      <c r="UQD2" s="235"/>
      <c r="UQE2" s="235"/>
      <c r="UQF2" s="235"/>
      <c r="UQG2" s="235"/>
      <c r="UQH2" s="235"/>
      <c r="UQI2" s="235"/>
      <c r="UQJ2" s="235"/>
      <c r="UQK2" s="235"/>
      <c r="UQL2" s="235"/>
      <c r="UQM2" s="235"/>
      <c r="UQN2" s="235"/>
      <c r="UQO2" s="235"/>
      <c r="UQP2" s="235"/>
      <c r="UQQ2" s="235"/>
      <c r="UQR2" s="235"/>
      <c r="UQS2" s="235"/>
      <c r="UQT2" s="235"/>
      <c r="UQU2" s="235"/>
      <c r="UQV2" s="235"/>
      <c r="UQW2" s="235"/>
      <c r="UQX2" s="235"/>
      <c r="UQY2" s="235"/>
      <c r="UQZ2" s="235"/>
      <c r="URA2" s="235"/>
      <c r="URB2" s="235"/>
      <c r="URC2" s="235"/>
      <c r="URD2" s="235"/>
      <c r="URE2" s="235"/>
      <c r="URF2" s="235"/>
      <c r="URG2" s="235"/>
      <c r="URH2" s="235"/>
      <c r="URI2" s="235"/>
      <c r="URJ2" s="235"/>
      <c r="URK2" s="235"/>
      <c r="URL2" s="235"/>
      <c r="URM2" s="235"/>
      <c r="URN2" s="235"/>
      <c r="URO2" s="235"/>
      <c r="URP2" s="235"/>
      <c r="URQ2" s="235"/>
      <c r="URR2" s="235"/>
      <c r="URS2" s="235"/>
      <c r="URT2" s="235"/>
      <c r="URU2" s="235"/>
      <c r="URV2" s="235"/>
      <c r="URW2" s="235"/>
      <c r="URX2" s="235"/>
      <c r="URY2" s="235"/>
      <c r="URZ2" s="235"/>
      <c r="USA2" s="235"/>
      <c r="USB2" s="235"/>
      <c r="USC2" s="235"/>
      <c r="USD2" s="235"/>
      <c r="USE2" s="235"/>
      <c r="USF2" s="235"/>
      <c r="USG2" s="235"/>
      <c r="USH2" s="235"/>
      <c r="USI2" s="235"/>
      <c r="USJ2" s="235"/>
      <c r="USK2" s="235"/>
      <c r="USL2" s="235"/>
      <c r="USM2" s="235"/>
      <c r="USN2" s="235"/>
      <c r="USO2" s="235"/>
      <c r="USP2" s="235"/>
      <c r="USQ2" s="235"/>
      <c r="USR2" s="235"/>
      <c r="USS2" s="235"/>
      <c r="UST2" s="235"/>
      <c r="USU2" s="235"/>
      <c r="USV2" s="235"/>
      <c r="USW2" s="235"/>
      <c r="USX2" s="235"/>
      <c r="USY2" s="235"/>
      <c r="USZ2" s="235"/>
      <c r="UTA2" s="235"/>
      <c r="UTB2" s="235"/>
      <c r="UTC2" s="235"/>
      <c r="UTD2" s="235"/>
      <c r="UTE2" s="235"/>
      <c r="UTF2" s="235"/>
      <c r="UTG2" s="235"/>
      <c r="UTH2" s="235"/>
      <c r="UTI2" s="235"/>
      <c r="UTJ2" s="235"/>
      <c r="UTK2" s="235"/>
      <c r="UTL2" s="235"/>
      <c r="UTM2" s="235"/>
      <c r="UTN2" s="235"/>
      <c r="UTO2" s="235"/>
      <c r="UTP2" s="235"/>
      <c r="UTQ2" s="235"/>
      <c r="UTR2" s="235"/>
      <c r="UTS2" s="235"/>
      <c r="UTT2" s="235"/>
      <c r="UTU2" s="235"/>
      <c r="UTV2" s="235"/>
      <c r="UTW2" s="235"/>
      <c r="UTX2" s="235"/>
      <c r="UTY2" s="235"/>
      <c r="UTZ2" s="235"/>
      <c r="UUA2" s="235"/>
      <c r="UUB2" s="235"/>
      <c r="UUC2" s="235"/>
      <c r="UUD2" s="235"/>
      <c r="UUE2" s="235"/>
      <c r="UUF2" s="235"/>
      <c r="UUG2" s="235"/>
      <c r="UUH2" s="235"/>
      <c r="UUI2" s="235"/>
      <c r="UUJ2" s="235"/>
      <c r="UUK2" s="235"/>
      <c r="UUL2" s="235"/>
      <c r="UUM2" s="235"/>
      <c r="UUN2" s="235"/>
      <c r="UUO2" s="235"/>
      <c r="UUP2" s="235"/>
      <c r="UUQ2" s="235"/>
      <c r="UUR2" s="235"/>
      <c r="UUS2" s="235"/>
      <c r="UUT2" s="235"/>
      <c r="UUU2" s="235"/>
      <c r="UUV2" s="235"/>
      <c r="UUW2" s="235"/>
      <c r="UUX2" s="235"/>
      <c r="UUY2" s="235"/>
      <c r="UUZ2" s="235"/>
      <c r="UVA2" s="235"/>
      <c r="UVB2" s="235"/>
      <c r="UVC2" s="235"/>
      <c r="UVD2" s="235"/>
      <c r="UVE2" s="235"/>
      <c r="UVF2" s="235"/>
      <c r="UVG2" s="235"/>
      <c r="UVH2" s="235"/>
      <c r="UVI2" s="235"/>
      <c r="UVJ2" s="235"/>
      <c r="UVK2" s="235"/>
      <c r="UVL2" s="235"/>
      <c r="UVM2" s="235"/>
      <c r="UVN2" s="235"/>
      <c r="UVO2" s="235"/>
      <c r="UVP2" s="235"/>
      <c r="UVQ2" s="235"/>
      <c r="UVR2" s="235"/>
      <c r="UVS2" s="235"/>
      <c r="UVT2" s="235"/>
      <c r="UVU2" s="235"/>
      <c r="UVV2" s="235"/>
      <c r="UVW2" s="235"/>
      <c r="UVX2" s="235"/>
      <c r="UVY2" s="235"/>
      <c r="UVZ2" s="235"/>
      <c r="UWA2" s="235"/>
      <c r="UWB2" s="235"/>
      <c r="UWC2" s="235"/>
      <c r="UWD2" s="235"/>
      <c r="UWE2" s="235"/>
      <c r="UWF2" s="235"/>
      <c r="UWG2" s="235"/>
      <c r="UWH2" s="235"/>
      <c r="UWI2" s="235"/>
      <c r="UWJ2" s="235"/>
      <c r="UWK2" s="235"/>
      <c r="UWL2" s="235"/>
      <c r="UWM2" s="235"/>
      <c r="UWN2" s="235"/>
      <c r="UWO2" s="235"/>
      <c r="UWP2" s="235"/>
      <c r="UWQ2" s="235"/>
      <c r="UWR2" s="235"/>
      <c r="UWS2" s="235"/>
      <c r="UWT2" s="235"/>
      <c r="UWU2" s="235"/>
      <c r="UWV2" s="235"/>
      <c r="UWW2" s="235"/>
      <c r="UWX2" s="235"/>
      <c r="UWY2" s="235"/>
      <c r="UWZ2" s="235"/>
      <c r="UXA2" s="235"/>
      <c r="UXB2" s="235"/>
      <c r="UXC2" s="235"/>
      <c r="UXD2" s="235"/>
      <c r="UXE2" s="235"/>
      <c r="UXF2" s="235"/>
      <c r="UXG2" s="235"/>
      <c r="UXH2" s="235"/>
      <c r="UXI2" s="235"/>
      <c r="UXJ2" s="235"/>
      <c r="UXK2" s="235"/>
      <c r="UXL2" s="235"/>
      <c r="UXM2" s="235"/>
      <c r="UXN2" s="235"/>
      <c r="UXO2" s="235"/>
      <c r="UXP2" s="235"/>
      <c r="UXQ2" s="235"/>
      <c r="UXR2" s="235"/>
      <c r="UXS2" s="235"/>
      <c r="UXT2" s="235"/>
      <c r="UXU2" s="235"/>
      <c r="UXV2" s="235"/>
      <c r="UXW2" s="235"/>
      <c r="UXX2" s="235"/>
      <c r="UXY2" s="235"/>
      <c r="UXZ2" s="235"/>
      <c r="UYA2" s="235"/>
      <c r="UYB2" s="235"/>
      <c r="UYC2" s="235"/>
      <c r="UYD2" s="235"/>
      <c r="UYE2" s="235"/>
      <c r="UYF2" s="235"/>
      <c r="UYG2" s="235"/>
      <c r="UYH2" s="235"/>
      <c r="UYI2" s="235"/>
      <c r="UYJ2" s="235"/>
      <c r="UYK2" s="235"/>
      <c r="UYL2" s="235"/>
      <c r="UYM2" s="235"/>
      <c r="UYN2" s="235"/>
      <c r="UYO2" s="235"/>
      <c r="UYP2" s="235"/>
      <c r="UYQ2" s="235"/>
      <c r="UYR2" s="235"/>
      <c r="UYS2" s="235"/>
      <c r="UYT2" s="235"/>
      <c r="UYU2" s="235"/>
      <c r="UYV2" s="235"/>
      <c r="UYW2" s="235"/>
      <c r="UYX2" s="235"/>
      <c r="UYY2" s="235"/>
      <c r="UYZ2" s="235"/>
      <c r="UZA2" s="235"/>
      <c r="UZB2" s="235"/>
      <c r="UZC2" s="235"/>
      <c r="UZD2" s="235"/>
      <c r="UZE2" s="235"/>
      <c r="UZF2" s="235"/>
      <c r="UZG2" s="235"/>
      <c r="UZH2" s="235"/>
      <c r="UZI2" s="235"/>
      <c r="UZJ2" s="235"/>
      <c r="UZK2" s="235"/>
      <c r="UZL2" s="235"/>
      <c r="UZM2" s="235"/>
      <c r="UZN2" s="235"/>
      <c r="UZO2" s="235"/>
      <c r="UZP2" s="235"/>
      <c r="UZQ2" s="235"/>
      <c r="UZR2" s="235"/>
      <c r="UZS2" s="235"/>
      <c r="UZT2" s="235"/>
      <c r="UZU2" s="235"/>
      <c r="UZV2" s="235"/>
      <c r="UZW2" s="235"/>
      <c r="UZX2" s="235"/>
      <c r="UZY2" s="235"/>
      <c r="UZZ2" s="235"/>
      <c r="VAA2" s="235"/>
      <c r="VAB2" s="235"/>
      <c r="VAC2" s="235"/>
      <c r="VAD2" s="235"/>
      <c r="VAE2" s="235"/>
      <c r="VAF2" s="235"/>
      <c r="VAG2" s="235"/>
      <c r="VAH2" s="235"/>
      <c r="VAI2" s="235"/>
      <c r="VAJ2" s="235"/>
      <c r="VAK2" s="235"/>
      <c r="VAL2" s="235"/>
      <c r="VAM2" s="235"/>
      <c r="VAN2" s="235"/>
      <c r="VAO2" s="235"/>
      <c r="VAP2" s="235"/>
      <c r="VAQ2" s="235"/>
      <c r="VAR2" s="235"/>
      <c r="VAS2" s="235"/>
      <c r="VAT2" s="235"/>
      <c r="VAU2" s="235"/>
      <c r="VAV2" s="235"/>
      <c r="VAW2" s="235"/>
      <c r="VAX2" s="235"/>
      <c r="VAY2" s="235"/>
      <c r="VAZ2" s="235"/>
      <c r="VBA2" s="235"/>
      <c r="VBB2" s="235"/>
      <c r="VBC2" s="235"/>
      <c r="VBD2" s="235"/>
      <c r="VBE2" s="235"/>
      <c r="VBF2" s="235"/>
      <c r="VBG2" s="235"/>
      <c r="VBH2" s="235"/>
      <c r="VBI2" s="235"/>
      <c r="VBJ2" s="235"/>
      <c r="VBK2" s="235"/>
      <c r="VBL2" s="235"/>
      <c r="VBM2" s="235"/>
      <c r="VBN2" s="235"/>
      <c r="VBO2" s="235"/>
      <c r="VBP2" s="235"/>
      <c r="VBQ2" s="235"/>
      <c r="VBR2" s="235"/>
      <c r="VBS2" s="235"/>
      <c r="VBT2" s="235"/>
      <c r="VBU2" s="235"/>
      <c r="VBV2" s="235"/>
      <c r="VBW2" s="235"/>
      <c r="VBX2" s="235"/>
      <c r="VBY2" s="235"/>
      <c r="VBZ2" s="235"/>
      <c r="VCA2" s="235"/>
      <c r="VCB2" s="235"/>
      <c r="VCC2" s="235"/>
      <c r="VCD2" s="235"/>
      <c r="VCE2" s="235"/>
      <c r="VCF2" s="235"/>
      <c r="VCG2" s="235"/>
      <c r="VCH2" s="235"/>
      <c r="VCI2" s="235"/>
      <c r="VCJ2" s="235"/>
      <c r="VCK2" s="235"/>
      <c r="VCL2" s="235"/>
      <c r="VCM2" s="235"/>
      <c r="VCN2" s="235"/>
      <c r="VCO2" s="235"/>
      <c r="VCP2" s="235"/>
      <c r="VCQ2" s="235"/>
      <c r="VCR2" s="235"/>
      <c r="VCS2" s="235"/>
      <c r="VCT2" s="235"/>
      <c r="VCU2" s="235"/>
      <c r="VCV2" s="235"/>
      <c r="VCW2" s="235"/>
      <c r="VCX2" s="235"/>
      <c r="VCY2" s="235"/>
      <c r="VCZ2" s="235"/>
      <c r="VDA2" s="235"/>
      <c r="VDB2" s="235"/>
      <c r="VDC2" s="235"/>
      <c r="VDD2" s="235"/>
      <c r="VDE2" s="235"/>
      <c r="VDF2" s="235"/>
      <c r="VDG2" s="235"/>
      <c r="VDH2" s="235"/>
      <c r="VDI2" s="235"/>
      <c r="VDJ2" s="235"/>
      <c r="VDK2" s="235"/>
      <c r="VDL2" s="235"/>
      <c r="VDM2" s="235"/>
      <c r="VDN2" s="235"/>
      <c r="VDO2" s="235"/>
      <c r="VDP2" s="235"/>
      <c r="VDQ2" s="235"/>
      <c r="VDR2" s="235"/>
      <c r="VDS2" s="235"/>
      <c r="VDT2" s="235"/>
      <c r="VDU2" s="235"/>
      <c r="VDV2" s="235"/>
      <c r="VDW2" s="235"/>
      <c r="VDX2" s="235"/>
      <c r="VDY2" s="235"/>
      <c r="VDZ2" s="235"/>
      <c r="VEA2" s="235"/>
      <c r="VEB2" s="235"/>
      <c r="VEC2" s="235"/>
      <c r="VED2" s="235"/>
      <c r="VEE2" s="235"/>
      <c r="VEF2" s="235"/>
      <c r="VEG2" s="235"/>
      <c r="VEH2" s="235"/>
      <c r="VEI2" s="235"/>
      <c r="VEJ2" s="235"/>
      <c r="VEK2" s="235"/>
      <c r="VEL2" s="235"/>
      <c r="VEM2" s="235"/>
      <c r="VEN2" s="235"/>
      <c r="VEO2" s="235"/>
      <c r="VEP2" s="235"/>
      <c r="VEQ2" s="235"/>
      <c r="VER2" s="235"/>
      <c r="VES2" s="235"/>
      <c r="VET2" s="235"/>
      <c r="VEU2" s="235"/>
      <c r="VEV2" s="235"/>
      <c r="VEW2" s="235"/>
      <c r="VEX2" s="235"/>
      <c r="VEY2" s="235"/>
      <c r="VEZ2" s="235"/>
      <c r="VFA2" s="235"/>
      <c r="VFB2" s="235"/>
      <c r="VFC2" s="235"/>
      <c r="VFD2" s="235"/>
      <c r="VFE2" s="235"/>
      <c r="VFF2" s="235"/>
      <c r="VFG2" s="235"/>
      <c r="VFH2" s="235"/>
      <c r="VFI2" s="235"/>
      <c r="VFJ2" s="235"/>
      <c r="VFK2" s="235"/>
      <c r="VFL2" s="235"/>
      <c r="VFM2" s="235"/>
      <c r="VFN2" s="235"/>
      <c r="VFO2" s="235"/>
      <c r="VFP2" s="235"/>
      <c r="VFQ2" s="235"/>
      <c r="VFR2" s="235"/>
      <c r="VFS2" s="235"/>
      <c r="VFT2" s="235"/>
      <c r="VFU2" s="235"/>
      <c r="VFV2" s="235"/>
      <c r="VFW2" s="235"/>
      <c r="VFX2" s="235"/>
      <c r="VFY2" s="235"/>
      <c r="VFZ2" s="235"/>
      <c r="VGA2" s="235"/>
      <c r="VGB2" s="235"/>
      <c r="VGC2" s="235"/>
      <c r="VGD2" s="235"/>
      <c r="VGE2" s="235"/>
      <c r="VGF2" s="235"/>
      <c r="VGG2" s="235"/>
      <c r="VGH2" s="235"/>
      <c r="VGI2" s="235"/>
      <c r="VGJ2" s="235"/>
      <c r="VGK2" s="235"/>
      <c r="VGL2" s="235"/>
      <c r="VGM2" s="235"/>
      <c r="VGN2" s="235"/>
      <c r="VGO2" s="235"/>
      <c r="VGP2" s="235"/>
      <c r="VGQ2" s="235"/>
      <c r="VGR2" s="235"/>
      <c r="VGS2" s="235"/>
      <c r="VGT2" s="235"/>
      <c r="VGU2" s="235"/>
      <c r="VGV2" s="235"/>
      <c r="VGW2" s="235"/>
      <c r="VGX2" s="235"/>
      <c r="VGY2" s="235"/>
      <c r="VGZ2" s="235"/>
      <c r="VHA2" s="235"/>
      <c r="VHB2" s="235"/>
      <c r="VHC2" s="235"/>
      <c r="VHD2" s="235"/>
      <c r="VHE2" s="235"/>
      <c r="VHF2" s="235"/>
      <c r="VHG2" s="235"/>
      <c r="VHH2" s="235"/>
      <c r="VHI2" s="235"/>
      <c r="VHJ2" s="235"/>
      <c r="VHK2" s="235"/>
      <c r="VHL2" s="235"/>
      <c r="VHM2" s="235"/>
      <c r="VHN2" s="235"/>
      <c r="VHO2" s="235"/>
      <c r="VHP2" s="235"/>
      <c r="VHQ2" s="235"/>
      <c r="VHR2" s="235"/>
      <c r="VHS2" s="235"/>
      <c r="VHT2" s="235"/>
      <c r="VHU2" s="235"/>
      <c r="VHV2" s="235"/>
      <c r="VHW2" s="235"/>
      <c r="VHX2" s="235"/>
      <c r="VHY2" s="235"/>
      <c r="VHZ2" s="235"/>
      <c r="VIA2" s="235"/>
      <c r="VIB2" s="235"/>
      <c r="VIC2" s="235"/>
      <c r="VID2" s="235"/>
      <c r="VIE2" s="235"/>
      <c r="VIF2" s="235"/>
      <c r="VIG2" s="235"/>
      <c r="VIH2" s="235"/>
      <c r="VII2" s="235"/>
      <c r="VIJ2" s="235"/>
      <c r="VIK2" s="235"/>
      <c r="VIL2" s="235"/>
      <c r="VIM2" s="235"/>
      <c r="VIN2" s="235"/>
      <c r="VIO2" s="235"/>
      <c r="VIP2" s="235"/>
      <c r="VIQ2" s="235"/>
      <c r="VIR2" s="235"/>
      <c r="VIS2" s="235"/>
      <c r="VIT2" s="235"/>
      <c r="VIU2" s="235"/>
      <c r="VIV2" s="235"/>
      <c r="VIW2" s="235"/>
      <c r="VIX2" s="235"/>
      <c r="VIY2" s="235"/>
      <c r="VIZ2" s="235"/>
      <c r="VJA2" s="235"/>
      <c r="VJB2" s="235"/>
      <c r="VJC2" s="235"/>
      <c r="VJD2" s="235"/>
      <c r="VJE2" s="235"/>
      <c r="VJF2" s="235"/>
      <c r="VJG2" s="235"/>
      <c r="VJH2" s="235"/>
      <c r="VJI2" s="235"/>
      <c r="VJJ2" s="235"/>
      <c r="VJK2" s="235"/>
      <c r="VJL2" s="235"/>
      <c r="VJM2" s="235"/>
      <c r="VJN2" s="235"/>
      <c r="VJO2" s="235"/>
      <c r="VJP2" s="235"/>
      <c r="VJQ2" s="235"/>
      <c r="VJR2" s="235"/>
      <c r="VJS2" s="235"/>
      <c r="VJT2" s="235"/>
      <c r="VJU2" s="235"/>
      <c r="VJV2" s="235"/>
      <c r="VJW2" s="235"/>
      <c r="VJX2" s="235"/>
      <c r="VJY2" s="235"/>
      <c r="VJZ2" s="235"/>
      <c r="VKA2" s="235"/>
      <c r="VKB2" s="235"/>
      <c r="VKC2" s="235"/>
      <c r="VKD2" s="235"/>
      <c r="VKE2" s="235"/>
      <c r="VKF2" s="235"/>
      <c r="VKG2" s="235"/>
      <c r="VKH2" s="235"/>
      <c r="VKI2" s="235"/>
      <c r="VKJ2" s="235"/>
      <c r="VKK2" s="235"/>
      <c r="VKL2" s="235"/>
      <c r="VKM2" s="235"/>
      <c r="VKN2" s="235"/>
      <c r="VKO2" s="235"/>
      <c r="VKP2" s="235"/>
      <c r="VKQ2" s="235"/>
      <c r="VKR2" s="235"/>
      <c r="VKS2" s="235"/>
      <c r="VKT2" s="235"/>
      <c r="VKU2" s="235"/>
      <c r="VKV2" s="235"/>
      <c r="VKW2" s="235"/>
      <c r="VKX2" s="235"/>
      <c r="VKY2" s="235"/>
      <c r="VKZ2" s="235"/>
      <c r="VLA2" s="235"/>
      <c r="VLB2" s="235"/>
      <c r="VLC2" s="235"/>
      <c r="VLD2" s="235"/>
      <c r="VLE2" s="235"/>
      <c r="VLF2" s="235"/>
      <c r="VLG2" s="235"/>
      <c r="VLH2" s="235"/>
      <c r="VLI2" s="235"/>
      <c r="VLJ2" s="235"/>
      <c r="VLK2" s="235"/>
      <c r="VLL2" s="235"/>
      <c r="VLM2" s="235"/>
      <c r="VLN2" s="235"/>
      <c r="VLO2" s="235"/>
      <c r="VLP2" s="235"/>
      <c r="VLQ2" s="235"/>
      <c r="VLR2" s="235"/>
      <c r="VLS2" s="235"/>
      <c r="VLT2" s="235"/>
      <c r="VLU2" s="235"/>
      <c r="VLV2" s="235"/>
      <c r="VLW2" s="235"/>
      <c r="VLX2" s="235"/>
      <c r="VLY2" s="235"/>
      <c r="VLZ2" s="235"/>
      <c r="VMA2" s="235"/>
      <c r="VMB2" s="235"/>
      <c r="VMC2" s="235"/>
      <c r="VMD2" s="235"/>
      <c r="VME2" s="235"/>
      <c r="VMF2" s="235"/>
      <c r="VMG2" s="235"/>
      <c r="VMH2" s="235"/>
      <c r="VMI2" s="235"/>
      <c r="VMJ2" s="235"/>
      <c r="VMK2" s="235"/>
      <c r="VML2" s="235"/>
      <c r="VMM2" s="235"/>
      <c r="VMN2" s="235"/>
      <c r="VMO2" s="235"/>
      <c r="VMP2" s="235"/>
      <c r="VMQ2" s="235"/>
      <c r="VMR2" s="235"/>
      <c r="VMS2" s="235"/>
      <c r="VMT2" s="235"/>
      <c r="VMU2" s="235"/>
      <c r="VMV2" s="235"/>
      <c r="VMW2" s="235"/>
      <c r="VMX2" s="235"/>
      <c r="VMY2" s="235"/>
      <c r="VMZ2" s="235"/>
      <c r="VNA2" s="235"/>
      <c r="VNB2" s="235"/>
      <c r="VNC2" s="235"/>
      <c r="VND2" s="235"/>
      <c r="VNE2" s="235"/>
      <c r="VNF2" s="235"/>
      <c r="VNG2" s="235"/>
      <c r="VNH2" s="235"/>
      <c r="VNI2" s="235"/>
      <c r="VNJ2" s="235"/>
      <c r="VNK2" s="235"/>
      <c r="VNL2" s="235"/>
      <c r="VNM2" s="235"/>
      <c r="VNN2" s="235"/>
      <c r="VNO2" s="235"/>
      <c r="VNP2" s="235"/>
      <c r="VNQ2" s="235"/>
      <c r="VNR2" s="235"/>
      <c r="VNS2" s="235"/>
      <c r="VNT2" s="235"/>
      <c r="VNU2" s="235"/>
      <c r="VNV2" s="235"/>
      <c r="VNW2" s="235"/>
      <c r="VNX2" s="235"/>
      <c r="VNY2" s="235"/>
      <c r="VNZ2" s="235"/>
      <c r="VOA2" s="235"/>
      <c r="VOB2" s="235"/>
      <c r="VOC2" s="235"/>
      <c r="VOD2" s="235"/>
      <c r="VOE2" s="235"/>
      <c r="VOF2" s="235"/>
      <c r="VOG2" s="235"/>
      <c r="VOH2" s="235"/>
      <c r="VOI2" s="235"/>
      <c r="VOJ2" s="235"/>
      <c r="VOK2" s="235"/>
      <c r="VOL2" s="235"/>
      <c r="VOM2" s="235"/>
      <c r="VON2" s="235"/>
      <c r="VOO2" s="235"/>
      <c r="VOP2" s="235"/>
      <c r="VOQ2" s="235"/>
      <c r="VOR2" s="235"/>
      <c r="VOS2" s="235"/>
      <c r="VOT2" s="235"/>
      <c r="VOU2" s="235"/>
      <c r="VOV2" s="235"/>
      <c r="VOW2" s="235"/>
      <c r="VOX2" s="235"/>
      <c r="VOY2" s="235"/>
      <c r="VOZ2" s="235"/>
      <c r="VPA2" s="235"/>
      <c r="VPB2" s="235"/>
      <c r="VPC2" s="235"/>
      <c r="VPD2" s="235"/>
      <c r="VPE2" s="235"/>
      <c r="VPF2" s="235"/>
      <c r="VPG2" s="235"/>
      <c r="VPH2" s="235"/>
      <c r="VPI2" s="235"/>
      <c r="VPJ2" s="235"/>
      <c r="VPK2" s="235"/>
      <c r="VPL2" s="235"/>
      <c r="VPM2" s="235"/>
      <c r="VPN2" s="235"/>
      <c r="VPO2" s="235"/>
      <c r="VPP2" s="235"/>
      <c r="VPQ2" s="235"/>
      <c r="VPR2" s="235"/>
      <c r="VPS2" s="235"/>
      <c r="VPT2" s="235"/>
      <c r="VPU2" s="235"/>
      <c r="VPV2" s="235"/>
      <c r="VPW2" s="235"/>
      <c r="VPX2" s="235"/>
      <c r="VPY2" s="235"/>
      <c r="VPZ2" s="235"/>
      <c r="VQA2" s="235"/>
      <c r="VQB2" s="235"/>
      <c r="VQC2" s="235"/>
      <c r="VQD2" s="235"/>
      <c r="VQE2" s="235"/>
      <c r="VQF2" s="235"/>
      <c r="VQG2" s="235"/>
      <c r="VQH2" s="235"/>
      <c r="VQI2" s="235"/>
      <c r="VQJ2" s="235"/>
      <c r="VQK2" s="235"/>
      <c r="VQL2" s="235"/>
      <c r="VQM2" s="235"/>
      <c r="VQN2" s="235"/>
      <c r="VQO2" s="235"/>
      <c r="VQP2" s="235"/>
      <c r="VQQ2" s="235"/>
      <c r="VQR2" s="235"/>
      <c r="VQS2" s="235"/>
      <c r="VQT2" s="235"/>
      <c r="VQU2" s="235"/>
      <c r="VQV2" s="235"/>
      <c r="VQW2" s="235"/>
      <c r="VQX2" s="235"/>
      <c r="VQY2" s="235"/>
      <c r="VQZ2" s="235"/>
      <c r="VRA2" s="235"/>
      <c r="VRB2" s="235"/>
      <c r="VRC2" s="235"/>
      <c r="VRD2" s="235"/>
      <c r="VRE2" s="235"/>
      <c r="VRF2" s="235"/>
      <c r="VRG2" s="235"/>
      <c r="VRH2" s="235"/>
      <c r="VRI2" s="235"/>
      <c r="VRJ2" s="235"/>
      <c r="VRK2" s="235"/>
      <c r="VRL2" s="235"/>
      <c r="VRM2" s="235"/>
      <c r="VRN2" s="235"/>
      <c r="VRO2" s="235"/>
      <c r="VRP2" s="235"/>
      <c r="VRQ2" s="235"/>
      <c r="VRR2" s="235"/>
      <c r="VRS2" s="235"/>
      <c r="VRT2" s="235"/>
      <c r="VRU2" s="235"/>
      <c r="VRV2" s="235"/>
      <c r="VRW2" s="235"/>
      <c r="VRX2" s="235"/>
      <c r="VRY2" s="235"/>
      <c r="VRZ2" s="235"/>
      <c r="VSA2" s="235"/>
      <c r="VSB2" s="235"/>
      <c r="VSC2" s="235"/>
      <c r="VSD2" s="235"/>
      <c r="VSE2" s="235"/>
      <c r="VSF2" s="235"/>
      <c r="VSG2" s="235"/>
      <c r="VSH2" s="235"/>
      <c r="VSI2" s="235"/>
      <c r="VSJ2" s="235"/>
      <c r="VSK2" s="235"/>
      <c r="VSL2" s="235"/>
      <c r="VSM2" s="235"/>
      <c r="VSN2" s="235"/>
      <c r="VSO2" s="235"/>
      <c r="VSP2" s="235"/>
      <c r="VSQ2" s="235"/>
      <c r="VSR2" s="235"/>
      <c r="VSS2" s="235"/>
      <c r="VST2" s="235"/>
      <c r="VSU2" s="235"/>
      <c r="VSV2" s="235"/>
      <c r="VSW2" s="235"/>
      <c r="VSX2" s="235"/>
      <c r="VSY2" s="235"/>
      <c r="VSZ2" s="235"/>
      <c r="VTA2" s="235"/>
      <c r="VTB2" s="235"/>
      <c r="VTC2" s="235"/>
      <c r="VTD2" s="235"/>
      <c r="VTE2" s="235"/>
      <c r="VTF2" s="235"/>
      <c r="VTG2" s="235"/>
      <c r="VTH2" s="235"/>
      <c r="VTI2" s="235"/>
      <c r="VTJ2" s="235"/>
      <c r="VTK2" s="235"/>
      <c r="VTL2" s="235"/>
      <c r="VTM2" s="235"/>
      <c r="VTN2" s="235"/>
      <c r="VTO2" s="235"/>
      <c r="VTP2" s="235"/>
      <c r="VTQ2" s="235"/>
      <c r="VTR2" s="235"/>
      <c r="VTS2" s="235"/>
      <c r="VTT2" s="235"/>
      <c r="VTU2" s="235"/>
      <c r="VTV2" s="235"/>
      <c r="VTW2" s="235"/>
      <c r="VTX2" s="235"/>
      <c r="VTY2" s="235"/>
      <c r="VTZ2" s="235"/>
      <c r="VUA2" s="235"/>
      <c r="VUB2" s="235"/>
      <c r="VUC2" s="235"/>
      <c r="VUD2" s="235"/>
      <c r="VUE2" s="235"/>
      <c r="VUF2" s="235"/>
      <c r="VUG2" s="235"/>
      <c r="VUH2" s="235"/>
      <c r="VUI2" s="235"/>
      <c r="VUJ2" s="235"/>
      <c r="VUK2" s="235"/>
      <c r="VUL2" s="235"/>
      <c r="VUM2" s="235"/>
      <c r="VUN2" s="235"/>
      <c r="VUO2" s="235"/>
      <c r="VUP2" s="235"/>
      <c r="VUQ2" s="235"/>
      <c r="VUR2" s="235"/>
      <c r="VUS2" s="235"/>
      <c r="VUT2" s="235"/>
      <c r="VUU2" s="235"/>
      <c r="VUV2" s="235"/>
      <c r="VUW2" s="235"/>
      <c r="VUX2" s="235"/>
      <c r="VUY2" s="235"/>
      <c r="VUZ2" s="235"/>
      <c r="VVA2" s="235"/>
      <c r="VVB2" s="235"/>
      <c r="VVC2" s="235"/>
      <c r="VVD2" s="235"/>
      <c r="VVE2" s="235"/>
      <c r="VVF2" s="235"/>
      <c r="VVG2" s="235"/>
      <c r="VVH2" s="235"/>
      <c r="VVI2" s="235"/>
      <c r="VVJ2" s="235"/>
      <c r="VVK2" s="235"/>
      <c r="VVL2" s="235"/>
      <c r="VVM2" s="235"/>
      <c r="VVN2" s="235"/>
      <c r="VVO2" s="235"/>
      <c r="VVP2" s="235"/>
      <c r="VVQ2" s="235"/>
      <c r="VVR2" s="235"/>
      <c r="VVS2" s="235"/>
      <c r="VVT2" s="235"/>
      <c r="VVU2" s="235"/>
      <c r="VVV2" s="235"/>
      <c r="VVW2" s="235"/>
      <c r="VVX2" s="235"/>
      <c r="VVY2" s="235"/>
      <c r="VVZ2" s="235"/>
      <c r="VWA2" s="235"/>
      <c r="VWB2" s="235"/>
      <c r="VWC2" s="235"/>
      <c r="VWD2" s="235"/>
      <c r="VWE2" s="235"/>
      <c r="VWF2" s="235"/>
      <c r="VWG2" s="235"/>
      <c r="VWH2" s="235"/>
      <c r="VWI2" s="235"/>
      <c r="VWJ2" s="235"/>
      <c r="VWK2" s="235"/>
      <c r="VWL2" s="235"/>
      <c r="VWM2" s="235"/>
      <c r="VWN2" s="235"/>
      <c r="VWO2" s="235"/>
      <c r="VWP2" s="235"/>
      <c r="VWQ2" s="235"/>
      <c r="VWR2" s="235"/>
      <c r="VWS2" s="235"/>
      <c r="VWT2" s="235"/>
      <c r="VWU2" s="235"/>
      <c r="VWV2" s="235"/>
      <c r="VWW2" s="235"/>
      <c r="VWX2" s="235"/>
      <c r="VWY2" s="235"/>
      <c r="VWZ2" s="235"/>
      <c r="VXA2" s="235"/>
      <c r="VXB2" s="235"/>
      <c r="VXC2" s="235"/>
      <c r="VXD2" s="235"/>
      <c r="VXE2" s="235"/>
      <c r="VXF2" s="235"/>
      <c r="VXG2" s="235"/>
      <c r="VXH2" s="235"/>
      <c r="VXI2" s="235"/>
      <c r="VXJ2" s="235"/>
      <c r="VXK2" s="235"/>
      <c r="VXL2" s="235"/>
      <c r="VXM2" s="235"/>
      <c r="VXN2" s="235"/>
      <c r="VXO2" s="235"/>
      <c r="VXP2" s="235"/>
      <c r="VXQ2" s="235"/>
      <c r="VXR2" s="235"/>
      <c r="VXS2" s="235"/>
      <c r="VXT2" s="235"/>
      <c r="VXU2" s="235"/>
      <c r="VXV2" s="235"/>
      <c r="VXW2" s="235"/>
      <c r="VXX2" s="235"/>
      <c r="VXY2" s="235"/>
      <c r="VXZ2" s="235"/>
      <c r="VYA2" s="235"/>
      <c r="VYB2" s="235"/>
      <c r="VYC2" s="235"/>
      <c r="VYD2" s="235"/>
      <c r="VYE2" s="235"/>
      <c r="VYF2" s="235"/>
      <c r="VYG2" s="235"/>
      <c r="VYH2" s="235"/>
      <c r="VYI2" s="235"/>
      <c r="VYJ2" s="235"/>
      <c r="VYK2" s="235"/>
      <c r="VYL2" s="235"/>
      <c r="VYM2" s="235"/>
      <c r="VYN2" s="235"/>
      <c r="VYO2" s="235"/>
      <c r="VYP2" s="235"/>
      <c r="VYQ2" s="235"/>
      <c r="VYR2" s="235"/>
      <c r="VYS2" s="235"/>
      <c r="VYT2" s="235"/>
      <c r="VYU2" s="235"/>
      <c r="VYV2" s="235"/>
      <c r="VYW2" s="235"/>
      <c r="VYX2" s="235"/>
      <c r="VYY2" s="235"/>
      <c r="VYZ2" s="235"/>
      <c r="VZA2" s="235"/>
      <c r="VZB2" s="235"/>
      <c r="VZC2" s="235"/>
      <c r="VZD2" s="235"/>
      <c r="VZE2" s="235"/>
      <c r="VZF2" s="235"/>
      <c r="VZG2" s="235"/>
      <c r="VZH2" s="235"/>
      <c r="VZI2" s="235"/>
      <c r="VZJ2" s="235"/>
      <c r="VZK2" s="235"/>
      <c r="VZL2" s="235"/>
      <c r="VZM2" s="235"/>
      <c r="VZN2" s="235"/>
      <c r="VZO2" s="235"/>
      <c r="VZP2" s="235"/>
      <c r="VZQ2" s="235"/>
      <c r="VZR2" s="235"/>
      <c r="VZS2" s="235"/>
      <c r="VZT2" s="235"/>
      <c r="VZU2" s="235"/>
      <c r="VZV2" s="235"/>
      <c r="VZW2" s="235"/>
      <c r="VZX2" s="235"/>
      <c r="VZY2" s="235"/>
      <c r="VZZ2" s="235"/>
      <c r="WAA2" s="235"/>
      <c r="WAB2" s="235"/>
      <c r="WAC2" s="235"/>
      <c r="WAD2" s="235"/>
      <c r="WAE2" s="235"/>
      <c r="WAF2" s="235"/>
      <c r="WAG2" s="235"/>
      <c r="WAH2" s="235"/>
      <c r="WAI2" s="235"/>
      <c r="WAJ2" s="235"/>
      <c r="WAK2" s="235"/>
      <c r="WAL2" s="235"/>
      <c r="WAM2" s="235"/>
      <c r="WAN2" s="235"/>
      <c r="WAO2" s="235"/>
      <c r="WAP2" s="235"/>
      <c r="WAQ2" s="235"/>
      <c r="WAR2" s="235"/>
      <c r="WAS2" s="235"/>
      <c r="WAT2" s="235"/>
      <c r="WAU2" s="235"/>
      <c r="WAV2" s="235"/>
      <c r="WAW2" s="235"/>
      <c r="WAX2" s="235"/>
      <c r="WAY2" s="235"/>
      <c r="WAZ2" s="235"/>
      <c r="WBA2" s="235"/>
      <c r="WBB2" s="235"/>
      <c r="WBC2" s="235"/>
      <c r="WBD2" s="235"/>
      <c r="WBE2" s="235"/>
      <c r="WBF2" s="235"/>
      <c r="WBG2" s="235"/>
      <c r="WBH2" s="235"/>
      <c r="WBI2" s="235"/>
      <c r="WBJ2" s="235"/>
      <c r="WBK2" s="235"/>
      <c r="WBL2" s="235"/>
      <c r="WBM2" s="235"/>
      <c r="WBN2" s="235"/>
      <c r="WBO2" s="235"/>
      <c r="WBP2" s="235"/>
      <c r="WBQ2" s="235"/>
      <c r="WBR2" s="235"/>
      <c r="WBS2" s="235"/>
      <c r="WBT2" s="235"/>
      <c r="WBU2" s="235"/>
      <c r="WBV2" s="235"/>
      <c r="WBW2" s="235"/>
      <c r="WBX2" s="235"/>
      <c r="WBY2" s="235"/>
      <c r="WBZ2" s="235"/>
      <c r="WCA2" s="235"/>
      <c r="WCB2" s="235"/>
      <c r="WCC2" s="235"/>
      <c r="WCD2" s="235"/>
      <c r="WCE2" s="235"/>
      <c r="WCF2" s="235"/>
      <c r="WCG2" s="235"/>
      <c r="WCH2" s="235"/>
      <c r="WCI2" s="235"/>
      <c r="WCJ2" s="235"/>
      <c r="WCK2" s="235"/>
      <c r="WCL2" s="235"/>
      <c r="WCM2" s="235"/>
      <c r="WCN2" s="235"/>
      <c r="WCO2" s="235"/>
      <c r="WCP2" s="235"/>
      <c r="WCQ2" s="235"/>
      <c r="WCR2" s="235"/>
      <c r="WCS2" s="235"/>
      <c r="WCT2" s="235"/>
      <c r="WCU2" s="235"/>
      <c r="WCV2" s="235"/>
      <c r="WCW2" s="235"/>
      <c r="WCX2" s="235"/>
      <c r="WCY2" s="235"/>
      <c r="WCZ2" s="235"/>
      <c r="WDA2" s="235"/>
      <c r="WDB2" s="235"/>
      <c r="WDC2" s="235"/>
      <c r="WDD2" s="235"/>
      <c r="WDE2" s="235"/>
      <c r="WDF2" s="235"/>
      <c r="WDG2" s="235"/>
      <c r="WDH2" s="235"/>
      <c r="WDI2" s="235"/>
      <c r="WDJ2" s="235"/>
      <c r="WDK2" s="235"/>
      <c r="WDL2" s="235"/>
      <c r="WDM2" s="235"/>
      <c r="WDN2" s="235"/>
      <c r="WDO2" s="235"/>
      <c r="WDP2" s="235"/>
      <c r="WDQ2" s="235"/>
      <c r="WDR2" s="235"/>
      <c r="WDS2" s="235"/>
      <c r="WDT2" s="235"/>
      <c r="WDU2" s="235"/>
      <c r="WDV2" s="235"/>
      <c r="WDW2" s="235"/>
      <c r="WDX2" s="235"/>
      <c r="WDY2" s="235"/>
      <c r="WDZ2" s="235"/>
      <c r="WEA2" s="235"/>
      <c r="WEB2" s="235"/>
      <c r="WEC2" s="235"/>
      <c r="WED2" s="235"/>
      <c r="WEE2" s="235"/>
      <c r="WEF2" s="235"/>
      <c r="WEG2" s="235"/>
      <c r="WEH2" s="235"/>
      <c r="WEI2" s="235"/>
      <c r="WEJ2" s="235"/>
      <c r="WEK2" s="235"/>
      <c r="WEL2" s="235"/>
      <c r="WEM2" s="235"/>
      <c r="WEN2" s="235"/>
      <c r="WEO2" s="235"/>
      <c r="WEP2" s="235"/>
      <c r="WEQ2" s="235"/>
      <c r="WER2" s="235"/>
      <c r="WES2" s="235"/>
      <c r="WET2" s="235"/>
      <c r="WEU2" s="235"/>
      <c r="WEV2" s="235"/>
      <c r="WEW2" s="235"/>
      <c r="WEX2" s="235"/>
      <c r="WEY2" s="235"/>
      <c r="WEZ2" s="235"/>
      <c r="WFA2" s="235"/>
      <c r="WFB2" s="235"/>
      <c r="WFC2" s="235"/>
      <c r="WFD2" s="235"/>
      <c r="WFE2" s="235"/>
      <c r="WFF2" s="235"/>
      <c r="WFG2" s="235"/>
      <c r="WFH2" s="235"/>
      <c r="WFI2" s="235"/>
      <c r="WFJ2" s="235"/>
      <c r="WFK2" s="235"/>
      <c r="WFL2" s="235"/>
      <c r="WFM2" s="235"/>
      <c r="WFN2" s="235"/>
      <c r="WFO2" s="235"/>
      <c r="WFP2" s="235"/>
      <c r="WFQ2" s="235"/>
      <c r="WFR2" s="235"/>
      <c r="WFS2" s="235"/>
      <c r="WFT2" s="235"/>
      <c r="WFU2" s="235"/>
      <c r="WFV2" s="235"/>
      <c r="WFW2" s="235"/>
      <c r="WFX2" s="235"/>
      <c r="WFY2" s="235"/>
      <c r="WFZ2" s="235"/>
      <c r="WGA2" s="235"/>
      <c r="WGB2" s="235"/>
      <c r="WGC2" s="235"/>
      <c r="WGD2" s="235"/>
      <c r="WGE2" s="235"/>
      <c r="WGF2" s="235"/>
      <c r="WGG2" s="235"/>
      <c r="WGH2" s="235"/>
      <c r="WGI2" s="235"/>
      <c r="WGJ2" s="235"/>
      <c r="WGK2" s="235"/>
      <c r="WGL2" s="235"/>
      <c r="WGM2" s="235"/>
      <c r="WGN2" s="235"/>
      <c r="WGO2" s="235"/>
      <c r="WGP2" s="235"/>
      <c r="WGQ2" s="235"/>
      <c r="WGR2" s="235"/>
      <c r="WGS2" s="235"/>
      <c r="WGT2" s="235"/>
      <c r="WGU2" s="235"/>
      <c r="WGV2" s="235"/>
      <c r="WGW2" s="235"/>
      <c r="WGX2" s="235"/>
      <c r="WGY2" s="235"/>
      <c r="WGZ2" s="235"/>
      <c r="WHA2" s="235"/>
      <c r="WHB2" s="235"/>
      <c r="WHC2" s="235"/>
      <c r="WHD2" s="235"/>
      <c r="WHE2" s="235"/>
      <c r="WHF2" s="235"/>
      <c r="WHG2" s="235"/>
      <c r="WHH2" s="235"/>
      <c r="WHI2" s="235"/>
      <c r="WHJ2" s="235"/>
      <c r="WHK2" s="235"/>
      <c r="WHL2" s="235"/>
      <c r="WHM2" s="235"/>
      <c r="WHN2" s="235"/>
      <c r="WHO2" s="235"/>
      <c r="WHP2" s="235"/>
      <c r="WHQ2" s="235"/>
      <c r="WHR2" s="235"/>
      <c r="WHS2" s="235"/>
      <c r="WHT2" s="235"/>
      <c r="WHU2" s="235"/>
      <c r="WHV2" s="235"/>
      <c r="WHW2" s="235"/>
      <c r="WHX2" s="235"/>
      <c r="WHY2" s="235"/>
      <c r="WHZ2" s="235"/>
      <c r="WIA2" s="235"/>
      <c r="WIB2" s="235"/>
      <c r="WIC2" s="235"/>
      <c r="WID2" s="235"/>
      <c r="WIE2" s="235"/>
      <c r="WIF2" s="235"/>
      <c r="WIG2" s="235"/>
      <c r="WIH2" s="235"/>
      <c r="WII2" s="235"/>
      <c r="WIJ2" s="235"/>
      <c r="WIK2" s="235"/>
      <c r="WIL2" s="235"/>
      <c r="WIM2" s="235"/>
      <c r="WIN2" s="235"/>
      <c r="WIO2" s="235"/>
      <c r="WIP2" s="235"/>
      <c r="WIQ2" s="235"/>
      <c r="WIR2" s="235"/>
      <c r="WIS2" s="235"/>
      <c r="WIT2" s="235"/>
      <c r="WIU2" s="235"/>
      <c r="WIV2" s="235"/>
      <c r="WIW2" s="235"/>
      <c r="WIX2" s="235"/>
      <c r="WIY2" s="235"/>
      <c r="WIZ2" s="235"/>
      <c r="WJA2" s="235"/>
      <c r="WJB2" s="235"/>
      <c r="WJC2" s="235"/>
      <c r="WJD2" s="235"/>
      <c r="WJE2" s="235"/>
      <c r="WJF2" s="235"/>
      <c r="WJG2" s="235"/>
      <c r="WJH2" s="235"/>
      <c r="WJI2" s="235"/>
      <c r="WJJ2" s="235"/>
      <c r="WJK2" s="235"/>
      <c r="WJL2" s="235"/>
      <c r="WJM2" s="235"/>
      <c r="WJN2" s="235"/>
      <c r="WJO2" s="235"/>
      <c r="WJP2" s="235"/>
      <c r="WJQ2" s="235"/>
      <c r="WJR2" s="235"/>
      <c r="WJS2" s="235"/>
      <c r="WJT2" s="235"/>
      <c r="WJU2" s="235"/>
      <c r="WJV2" s="235"/>
      <c r="WJW2" s="235"/>
      <c r="WJX2" s="235"/>
      <c r="WJY2" s="235"/>
      <c r="WJZ2" s="235"/>
      <c r="WKA2" s="235"/>
      <c r="WKB2" s="235"/>
      <c r="WKC2" s="235"/>
      <c r="WKD2" s="235"/>
      <c r="WKE2" s="235"/>
      <c r="WKF2" s="235"/>
      <c r="WKG2" s="235"/>
      <c r="WKH2" s="235"/>
      <c r="WKI2" s="235"/>
      <c r="WKJ2" s="235"/>
      <c r="WKK2" s="235"/>
      <c r="WKL2" s="235"/>
      <c r="WKM2" s="235"/>
      <c r="WKN2" s="235"/>
      <c r="WKO2" s="235"/>
      <c r="WKP2" s="235"/>
      <c r="WKQ2" s="235"/>
      <c r="WKR2" s="235"/>
      <c r="WKS2" s="235"/>
      <c r="WKT2" s="235"/>
      <c r="WKU2" s="235"/>
      <c r="WKV2" s="235"/>
      <c r="WKW2" s="235"/>
      <c r="WKX2" s="235"/>
      <c r="WKY2" s="235"/>
      <c r="WKZ2" s="235"/>
      <c r="WLA2" s="235"/>
      <c r="WLB2" s="235"/>
      <c r="WLC2" s="235"/>
      <c r="WLD2" s="235"/>
      <c r="WLE2" s="235"/>
      <c r="WLF2" s="235"/>
      <c r="WLG2" s="235"/>
      <c r="WLH2" s="235"/>
      <c r="WLI2" s="235"/>
      <c r="WLJ2" s="235"/>
      <c r="WLK2" s="235"/>
      <c r="WLL2" s="235"/>
      <c r="WLM2" s="235"/>
      <c r="WLN2" s="235"/>
      <c r="WLO2" s="235"/>
      <c r="WLP2" s="235"/>
      <c r="WLQ2" s="235"/>
      <c r="WLR2" s="235"/>
      <c r="WLS2" s="235"/>
      <c r="WLT2" s="235"/>
      <c r="WLU2" s="235"/>
      <c r="WLV2" s="235"/>
      <c r="WLW2" s="235"/>
      <c r="WLX2" s="235"/>
      <c r="WLY2" s="235"/>
      <c r="WLZ2" s="235"/>
      <c r="WMA2" s="235"/>
      <c r="WMB2" s="235"/>
      <c r="WMC2" s="235"/>
      <c r="WMD2" s="235"/>
      <c r="WME2" s="235"/>
      <c r="WMF2" s="235"/>
      <c r="WMG2" s="235"/>
      <c r="WMH2" s="235"/>
      <c r="WMI2" s="235"/>
      <c r="WMJ2" s="235"/>
      <c r="WMK2" s="235"/>
      <c r="WML2" s="235"/>
      <c r="WMM2" s="235"/>
      <c r="WMN2" s="235"/>
      <c r="WMO2" s="235"/>
      <c r="WMP2" s="235"/>
      <c r="WMQ2" s="235"/>
      <c r="WMR2" s="235"/>
      <c r="WMS2" s="235"/>
      <c r="WMT2" s="235"/>
      <c r="WMU2" s="235"/>
      <c r="WMV2" s="235"/>
      <c r="WMW2" s="235"/>
      <c r="WMX2" s="235"/>
      <c r="WMY2" s="235"/>
      <c r="WMZ2" s="235"/>
      <c r="WNA2" s="235"/>
      <c r="WNB2" s="235"/>
      <c r="WNC2" s="235"/>
      <c r="WND2" s="235"/>
      <c r="WNE2" s="235"/>
      <c r="WNF2" s="235"/>
      <c r="WNG2" s="235"/>
      <c r="WNH2" s="235"/>
      <c r="WNI2" s="235"/>
      <c r="WNJ2" s="235"/>
      <c r="WNK2" s="235"/>
      <c r="WNL2" s="235"/>
      <c r="WNM2" s="235"/>
      <c r="WNN2" s="235"/>
      <c r="WNO2" s="235"/>
      <c r="WNP2" s="235"/>
      <c r="WNQ2" s="235"/>
      <c r="WNR2" s="235"/>
      <c r="WNS2" s="235"/>
      <c r="WNT2" s="235"/>
      <c r="WNU2" s="235"/>
      <c r="WNV2" s="235"/>
      <c r="WNW2" s="235"/>
      <c r="WNX2" s="235"/>
      <c r="WNY2" s="235"/>
      <c r="WNZ2" s="235"/>
      <c r="WOA2" s="235"/>
      <c r="WOB2" s="235"/>
      <c r="WOC2" s="235"/>
      <c r="WOD2" s="235"/>
      <c r="WOE2" s="235"/>
      <c r="WOF2" s="235"/>
      <c r="WOG2" s="235"/>
      <c r="WOH2" s="235"/>
      <c r="WOI2" s="235"/>
      <c r="WOJ2" s="235"/>
      <c r="WOK2" s="235"/>
      <c r="WOL2" s="235"/>
      <c r="WOM2" s="235"/>
      <c r="WON2" s="235"/>
      <c r="WOO2" s="235"/>
      <c r="WOP2" s="235"/>
      <c r="WOQ2" s="235"/>
      <c r="WOR2" s="235"/>
      <c r="WOS2" s="235"/>
      <c r="WOT2" s="235"/>
      <c r="WOU2" s="235"/>
      <c r="WOV2" s="235"/>
      <c r="WOW2" s="235"/>
      <c r="WOX2" s="235"/>
      <c r="WOY2" s="235"/>
      <c r="WOZ2" s="235"/>
      <c r="WPA2" s="235"/>
      <c r="WPB2" s="235"/>
      <c r="WPC2" s="235"/>
      <c r="WPD2" s="235"/>
      <c r="WPE2" s="235"/>
      <c r="WPF2" s="235"/>
      <c r="WPG2" s="235"/>
      <c r="WPH2" s="235"/>
      <c r="WPI2" s="235"/>
      <c r="WPJ2" s="235"/>
      <c r="WPK2" s="235"/>
      <c r="WPL2" s="235"/>
      <c r="WPM2" s="235"/>
      <c r="WPN2" s="235"/>
      <c r="WPO2" s="235"/>
      <c r="WPP2" s="235"/>
      <c r="WPQ2" s="235"/>
      <c r="WPR2" s="235"/>
      <c r="WPS2" s="235"/>
      <c r="WPT2" s="235"/>
      <c r="WPU2" s="235"/>
      <c r="WPV2" s="235"/>
      <c r="WPW2" s="235"/>
      <c r="WPX2" s="235"/>
      <c r="WPY2" s="235"/>
      <c r="WPZ2" s="235"/>
      <c r="WQA2" s="235"/>
      <c r="WQB2" s="235"/>
      <c r="WQC2" s="235"/>
      <c r="WQD2" s="235"/>
      <c r="WQE2" s="235"/>
      <c r="WQF2" s="235"/>
      <c r="WQG2" s="235"/>
      <c r="WQH2" s="235"/>
      <c r="WQI2" s="235"/>
      <c r="WQJ2" s="235"/>
      <c r="WQK2" s="235"/>
      <c r="WQL2" s="235"/>
      <c r="WQM2" s="235"/>
      <c r="WQN2" s="235"/>
      <c r="WQO2" s="235"/>
      <c r="WQP2" s="235"/>
      <c r="WQQ2" s="235"/>
      <c r="WQR2" s="235"/>
      <c r="WQS2" s="235"/>
      <c r="WQT2" s="235"/>
      <c r="WQU2" s="235"/>
      <c r="WQV2" s="235"/>
      <c r="WQW2" s="235"/>
      <c r="WQX2" s="235"/>
      <c r="WQY2" s="235"/>
      <c r="WQZ2" s="235"/>
      <c r="WRA2" s="235"/>
      <c r="WRB2" s="235"/>
      <c r="WRC2" s="235"/>
      <c r="WRD2" s="235"/>
      <c r="WRE2" s="235"/>
      <c r="WRF2" s="235"/>
      <c r="WRG2" s="235"/>
      <c r="WRH2" s="235"/>
      <c r="WRI2" s="235"/>
      <c r="WRJ2" s="235"/>
      <c r="WRK2" s="235"/>
      <c r="WRL2" s="235"/>
      <c r="WRM2" s="235"/>
      <c r="WRN2" s="235"/>
      <c r="WRO2" s="235"/>
      <c r="WRP2" s="235"/>
      <c r="WRQ2" s="235"/>
      <c r="WRR2" s="235"/>
      <c r="WRS2" s="235"/>
      <c r="WRT2" s="235"/>
      <c r="WRU2" s="235"/>
      <c r="WRV2" s="235"/>
      <c r="WRW2" s="235"/>
      <c r="WRX2" s="235"/>
      <c r="WRY2" s="235"/>
      <c r="WRZ2" s="235"/>
      <c r="WSA2" s="235"/>
      <c r="WSB2" s="235"/>
      <c r="WSC2" s="235"/>
      <c r="WSD2" s="235"/>
      <c r="WSE2" s="235"/>
      <c r="WSF2" s="235"/>
      <c r="WSG2" s="235"/>
      <c r="WSH2" s="235"/>
      <c r="WSI2" s="235"/>
      <c r="WSJ2" s="235"/>
      <c r="WSK2" s="235"/>
      <c r="WSL2" s="235"/>
      <c r="WSM2" s="235"/>
      <c r="WSN2" s="235"/>
      <c r="WSO2" s="235"/>
      <c r="WSP2" s="235"/>
      <c r="WSQ2" s="235"/>
      <c r="WSR2" s="235"/>
      <c r="WSS2" s="235"/>
      <c r="WST2" s="235"/>
      <c r="WSU2" s="235"/>
      <c r="WSV2" s="235"/>
      <c r="WSW2" s="235"/>
      <c r="WSX2" s="235"/>
      <c r="WSY2" s="235"/>
      <c r="WSZ2" s="235"/>
      <c r="WTA2" s="235"/>
      <c r="WTB2" s="235"/>
      <c r="WTC2" s="235"/>
      <c r="WTD2" s="235"/>
      <c r="WTE2" s="235"/>
      <c r="WTF2" s="235"/>
      <c r="WTG2" s="235"/>
      <c r="WTH2" s="235"/>
      <c r="WTI2" s="235"/>
      <c r="WTJ2" s="235"/>
      <c r="WTK2" s="235"/>
      <c r="WTL2" s="235"/>
      <c r="WTM2" s="235"/>
      <c r="WTN2" s="235"/>
      <c r="WTO2" s="235"/>
      <c r="WTP2" s="235"/>
      <c r="WTQ2" s="235"/>
      <c r="WTR2" s="235"/>
      <c r="WTS2" s="235"/>
      <c r="WTT2" s="235"/>
      <c r="WTU2" s="235"/>
      <c r="WTV2" s="235"/>
      <c r="WTW2" s="235"/>
      <c r="WTX2" s="235"/>
      <c r="WTY2" s="235"/>
      <c r="WTZ2" s="235"/>
      <c r="WUA2" s="235"/>
      <c r="WUB2" s="235"/>
      <c r="WUC2" s="235"/>
      <c r="WUD2" s="235"/>
      <c r="WUE2" s="235"/>
      <c r="WUF2" s="235"/>
      <c r="WUG2" s="235"/>
      <c r="WUH2" s="235"/>
      <c r="WUI2" s="235"/>
      <c r="WUJ2" s="235"/>
      <c r="WUK2" s="235"/>
      <c r="WUL2" s="235"/>
      <c r="WUM2" s="235"/>
      <c r="WUN2" s="235"/>
      <c r="WUO2" s="235"/>
      <c r="WUP2" s="235"/>
      <c r="WUQ2" s="235"/>
      <c r="WUR2" s="235"/>
      <c r="WUS2" s="235"/>
      <c r="WUT2" s="235"/>
      <c r="WUU2" s="235"/>
      <c r="WUV2" s="235"/>
      <c r="WUW2" s="235"/>
      <c r="WUX2" s="235"/>
      <c r="WUY2" s="235"/>
      <c r="WUZ2" s="235"/>
      <c r="WVA2" s="235"/>
      <c r="WVB2" s="235"/>
      <c r="WVC2" s="235"/>
      <c r="WVD2" s="235"/>
      <c r="WVE2" s="235"/>
      <c r="WVF2" s="235"/>
      <c r="WVG2" s="235"/>
      <c r="WVH2" s="235"/>
      <c r="WVI2" s="235"/>
      <c r="WVJ2" s="235"/>
      <c r="WVK2" s="235"/>
      <c r="WVL2" s="235"/>
      <c r="WVM2" s="235"/>
      <c r="WVN2" s="235"/>
      <c r="WVO2" s="235"/>
      <c r="WVP2" s="235"/>
      <c r="WVQ2" s="235"/>
      <c r="WVR2" s="235"/>
      <c r="WVS2" s="235"/>
      <c r="WVT2" s="235"/>
      <c r="WVU2" s="235"/>
      <c r="WVV2" s="235"/>
      <c r="WVW2" s="235"/>
      <c r="WVX2" s="235"/>
      <c r="WVY2" s="235"/>
      <c r="WVZ2" s="235"/>
      <c r="WWA2" s="235"/>
      <c r="WWB2" s="235"/>
      <c r="WWC2" s="235"/>
      <c r="WWD2" s="235"/>
      <c r="WWE2" s="235"/>
      <c r="WWF2" s="235"/>
      <c r="WWG2" s="235"/>
      <c r="WWH2" s="235"/>
      <c r="WWI2" s="235"/>
      <c r="WWJ2" s="235"/>
      <c r="WWK2" s="235"/>
      <c r="WWL2" s="235"/>
      <c r="WWM2" s="235"/>
      <c r="WWN2" s="235"/>
      <c r="WWO2" s="235"/>
      <c r="WWP2" s="235"/>
      <c r="WWQ2" s="235"/>
      <c r="WWR2" s="235"/>
      <c r="WWS2" s="235"/>
      <c r="WWT2" s="235"/>
      <c r="WWU2" s="235"/>
      <c r="WWV2" s="235"/>
      <c r="WWW2" s="235"/>
      <c r="WWX2" s="235"/>
      <c r="WWY2" s="235"/>
      <c r="WWZ2" s="235"/>
      <c r="WXA2" s="235"/>
      <c r="WXB2" s="235"/>
      <c r="WXC2" s="235"/>
      <c r="WXD2" s="235"/>
      <c r="WXE2" s="235"/>
      <c r="WXF2" s="235"/>
      <c r="WXG2" s="235"/>
      <c r="WXH2" s="235"/>
      <c r="WXI2" s="235"/>
      <c r="WXJ2" s="235"/>
      <c r="WXK2" s="235"/>
      <c r="WXL2" s="235"/>
      <c r="WXM2" s="235"/>
      <c r="WXN2" s="235"/>
      <c r="WXO2" s="235"/>
      <c r="WXP2" s="235"/>
      <c r="WXQ2" s="235"/>
      <c r="WXR2" s="235"/>
      <c r="WXS2" s="235"/>
      <c r="WXT2" s="235"/>
      <c r="WXU2" s="235"/>
      <c r="WXV2" s="235"/>
      <c r="WXW2" s="235"/>
      <c r="WXX2" s="235"/>
      <c r="WXY2" s="235"/>
      <c r="WXZ2" s="235"/>
      <c r="WYA2" s="235"/>
      <c r="WYB2" s="235"/>
      <c r="WYC2" s="235"/>
      <c r="WYD2" s="235"/>
      <c r="WYE2" s="235"/>
      <c r="WYF2" s="235"/>
      <c r="WYG2" s="235"/>
      <c r="WYH2" s="235"/>
      <c r="WYI2" s="235"/>
      <c r="WYJ2" s="235"/>
      <c r="WYK2" s="235"/>
      <c r="WYL2" s="235"/>
      <c r="WYM2" s="235"/>
      <c r="WYN2" s="235"/>
      <c r="WYO2" s="235"/>
      <c r="WYP2" s="235"/>
      <c r="WYQ2" s="235"/>
      <c r="WYR2" s="235"/>
      <c r="WYS2" s="235"/>
      <c r="WYT2" s="235"/>
      <c r="WYU2" s="235"/>
      <c r="WYV2" s="235"/>
      <c r="WYW2" s="235"/>
      <c r="WYX2" s="235"/>
      <c r="WYY2" s="235"/>
      <c r="WYZ2" s="235"/>
      <c r="WZA2" s="235"/>
      <c r="WZB2" s="235"/>
      <c r="WZC2" s="235"/>
      <c r="WZD2" s="235"/>
      <c r="WZE2" s="235"/>
      <c r="WZF2" s="235"/>
      <c r="WZG2" s="235"/>
      <c r="WZH2" s="235"/>
      <c r="WZI2" s="235"/>
      <c r="WZJ2" s="235"/>
      <c r="WZK2" s="235"/>
      <c r="WZL2" s="235"/>
      <c r="WZM2" s="235"/>
      <c r="WZN2" s="235"/>
      <c r="WZO2" s="235"/>
      <c r="WZP2" s="235"/>
      <c r="WZQ2" s="235"/>
      <c r="WZR2" s="235"/>
      <c r="WZS2" s="235"/>
      <c r="WZT2" s="235"/>
      <c r="WZU2" s="235"/>
      <c r="WZV2" s="235"/>
      <c r="WZW2" s="235"/>
      <c r="WZX2" s="235"/>
      <c r="WZY2" s="235"/>
      <c r="WZZ2" s="235"/>
      <c r="XAA2" s="235"/>
      <c r="XAB2" s="235"/>
      <c r="XAC2" s="235"/>
      <c r="XAD2" s="235"/>
      <c r="XAE2" s="235"/>
      <c r="XAF2" s="235"/>
      <c r="XAG2" s="235"/>
      <c r="XAH2" s="235"/>
      <c r="XAI2" s="235"/>
      <c r="XAJ2" s="235"/>
      <c r="XAK2" s="235"/>
      <c r="XAL2" s="235"/>
      <c r="XAM2" s="235"/>
      <c r="XAN2" s="235"/>
      <c r="XAO2" s="235"/>
      <c r="XAP2" s="235"/>
      <c r="XAQ2" s="235"/>
      <c r="XAR2" s="235"/>
      <c r="XAS2" s="235"/>
      <c r="XAT2" s="235"/>
      <c r="XAU2" s="235"/>
      <c r="XAV2" s="235"/>
      <c r="XAW2" s="235"/>
      <c r="XAX2" s="235"/>
      <c r="XAY2" s="235"/>
      <c r="XAZ2" s="235"/>
      <c r="XBA2" s="235"/>
      <c r="XBB2" s="235"/>
      <c r="XBC2" s="235"/>
      <c r="XBD2" s="235"/>
      <c r="XBE2" s="235"/>
      <c r="XBF2" s="235"/>
      <c r="XBG2" s="235"/>
      <c r="XBH2" s="235"/>
      <c r="XBI2" s="235"/>
      <c r="XBJ2" s="235"/>
      <c r="XBK2" s="235"/>
      <c r="XBL2" s="235"/>
      <c r="XBM2" s="235"/>
      <c r="XBN2" s="235"/>
      <c r="XBO2" s="235"/>
      <c r="XBP2" s="235"/>
      <c r="XBQ2" s="235"/>
      <c r="XBR2" s="235"/>
      <c r="XBS2" s="235"/>
      <c r="XBT2" s="235"/>
      <c r="XBU2" s="235"/>
      <c r="XBV2" s="235"/>
      <c r="XBW2" s="235"/>
      <c r="XBX2" s="235"/>
      <c r="XBY2" s="235"/>
      <c r="XBZ2" s="235"/>
      <c r="XCA2" s="235"/>
      <c r="XCB2" s="235"/>
      <c r="XCC2" s="235"/>
      <c r="XCD2" s="235"/>
      <c r="XCE2" s="235"/>
      <c r="XCF2" s="235"/>
      <c r="XCG2" s="235"/>
      <c r="XCH2" s="235"/>
      <c r="XCI2" s="235"/>
      <c r="XCJ2" s="235"/>
      <c r="XCK2" s="235"/>
      <c r="XCL2" s="235"/>
      <c r="XCM2" s="235"/>
      <c r="XCN2" s="235"/>
      <c r="XCO2" s="235"/>
      <c r="XCP2" s="235"/>
      <c r="XCQ2" s="235"/>
      <c r="XCR2" s="235"/>
      <c r="XCS2" s="235"/>
      <c r="XCT2" s="235"/>
      <c r="XCU2" s="235"/>
      <c r="XCV2" s="235"/>
      <c r="XCW2" s="235"/>
      <c r="XCX2" s="235"/>
      <c r="XCY2" s="235"/>
      <c r="XCZ2" s="235"/>
      <c r="XDA2" s="235"/>
      <c r="XDB2" s="235"/>
      <c r="XDC2" s="235"/>
      <c r="XDD2" s="235"/>
      <c r="XDE2" s="235"/>
      <c r="XDF2" s="235"/>
      <c r="XDG2" s="235"/>
      <c r="XDH2" s="235"/>
      <c r="XDI2" s="235"/>
      <c r="XDJ2" s="235"/>
      <c r="XDK2" s="235"/>
      <c r="XDL2" s="235"/>
      <c r="XDM2" s="235"/>
      <c r="XDN2" s="235"/>
      <c r="XDO2" s="235"/>
      <c r="XDP2" s="235"/>
      <c r="XDQ2" s="235"/>
      <c r="XDR2" s="235"/>
      <c r="XDS2" s="235"/>
      <c r="XDT2" s="235"/>
      <c r="XDU2" s="235"/>
      <c r="XDV2" s="235"/>
      <c r="XDW2" s="235"/>
      <c r="XDX2" s="235"/>
      <c r="XDY2" s="235"/>
      <c r="XDZ2" s="235"/>
      <c r="XEA2" s="235"/>
      <c r="XEB2" s="235"/>
      <c r="XEC2" s="235"/>
      <c r="XED2" s="235"/>
      <c r="XEE2" s="235"/>
      <c r="XEF2" s="235"/>
      <c r="XEG2" s="235"/>
      <c r="XEH2" s="235"/>
      <c r="XEI2" s="235"/>
      <c r="XEJ2" s="235"/>
      <c r="XEK2" s="235"/>
      <c r="XEL2" s="235"/>
      <c r="XEM2" s="235"/>
      <c r="XEN2" s="235"/>
      <c r="XEO2" s="235"/>
      <c r="XEP2" s="235"/>
      <c r="XEQ2" s="235"/>
      <c r="XER2" s="235"/>
    </row>
    <row r="3" spans="1:16372" ht="15.65" x14ac:dyDescent="0.3">
      <c r="A3" s="89"/>
      <c r="B3" s="146" t="s">
        <v>565</v>
      </c>
      <c r="C3" s="236"/>
      <c r="D3" s="236"/>
      <c r="E3" s="236"/>
    </row>
    <row r="4" spans="1:16372" ht="31.25" x14ac:dyDescent="0.3">
      <c r="A4" s="237" t="s">
        <v>0</v>
      </c>
      <c r="B4" s="238" t="s">
        <v>566</v>
      </c>
      <c r="C4" s="239" t="s">
        <v>184</v>
      </c>
      <c r="D4" s="239" t="s">
        <v>746</v>
      </c>
      <c r="E4" s="239" t="s">
        <v>791</v>
      </c>
      <c r="F4" s="240">
        <f>C5+C7+C164+C284+C286</f>
        <v>333313299.20000029</v>
      </c>
    </row>
    <row r="5" spans="1:16372" ht="15.65" x14ac:dyDescent="0.3">
      <c r="A5" s="152">
        <v>2110100</v>
      </c>
      <c r="B5" s="241" t="s">
        <v>311</v>
      </c>
      <c r="C5" s="242">
        <f>C6</f>
        <v>170479219.54487601</v>
      </c>
      <c r="D5" s="242">
        <f>C5*1.05</f>
        <v>179003180.52211982</v>
      </c>
      <c r="E5" s="242">
        <f>D5*1.05</f>
        <v>187953339.54822582</v>
      </c>
      <c r="F5" s="11">
        <f>[1]Agric2!$C$7</f>
        <v>333155660.31</v>
      </c>
    </row>
    <row r="6" spans="1:16372" ht="15.65" x14ac:dyDescent="0.3">
      <c r="A6" s="243">
        <v>2110101</v>
      </c>
      <c r="B6" s="244" t="s">
        <v>2</v>
      </c>
      <c r="C6" s="245">
        <v>170479219.54487601</v>
      </c>
      <c r="D6" s="245">
        <f t="shared" ref="D6:E21" si="0">C6*1.05</f>
        <v>179003180.52211982</v>
      </c>
      <c r="E6" s="245">
        <f t="shared" si="0"/>
        <v>187953339.54822582</v>
      </c>
    </row>
    <row r="7" spans="1:16372" ht="15.65" x14ac:dyDescent="0.3">
      <c r="A7" s="152">
        <v>2110200</v>
      </c>
      <c r="B7" s="241" t="s">
        <v>455</v>
      </c>
      <c r="C7" s="242">
        <f>C8</f>
        <v>9000000</v>
      </c>
      <c r="D7" s="242">
        <f t="shared" si="0"/>
        <v>9450000</v>
      </c>
      <c r="E7" s="242">
        <f t="shared" si="0"/>
        <v>9922500</v>
      </c>
    </row>
    <row r="8" spans="1:16372" ht="15.65" x14ac:dyDescent="0.3">
      <c r="A8" s="243">
        <v>2110202</v>
      </c>
      <c r="B8" s="244" t="s">
        <v>456</v>
      </c>
      <c r="C8" s="245">
        <f>750000*12</f>
        <v>9000000</v>
      </c>
      <c r="D8" s="245">
        <f t="shared" si="0"/>
        <v>9450000</v>
      </c>
      <c r="E8" s="245">
        <f t="shared" si="0"/>
        <v>9922500</v>
      </c>
      <c r="F8" s="240">
        <f>F4-F5</f>
        <v>157638.89000028372</v>
      </c>
    </row>
    <row r="9" spans="1:16372" ht="15.65" x14ac:dyDescent="0.3">
      <c r="A9" s="152">
        <v>2210100</v>
      </c>
      <c r="B9" s="241" t="s">
        <v>23</v>
      </c>
      <c r="C9" s="242">
        <f>C10+C11</f>
        <v>904000</v>
      </c>
      <c r="D9" s="242">
        <f t="shared" si="0"/>
        <v>949200</v>
      </c>
      <c r="E9" s="242">
        <f t="shared" si="0"/>
        <v>996660</v>
      </c>
    </row>
    <row r="10" spans="1:16372" ht="15.65" x14ac:dyDescent="0.3">
      <c r="A10" s="243">
        <v>2210101</v>
      </c>
      <c r="B10" s="244" t="s">
        <v>24</v>
      </c>
      <c r="C10" s="246">
        <v>476000</v>
      </c>
      <c r="D10" s="245">
        <f t="shared" si="0"/>
        <v>499800</v>
      </c>
      <c r="E10" s="245">
        <f t="shared" si="0"/>
        <v>524790</v>
      </c>
    </row>
    <row r="11" spans="1:16372" ht="15.65" x14ac:dyDescent="0.3">
      <c r="A11" s="243">
        <v>2210102</v>
      </c>
      <c r="B11" s="244" t="s">
        <v>25</v>
      </c>
      <c r="C11" s="246">
        <v>428000</v>
      </c>
      <c r="D11" s="245">
        <f t="shared" si="0"/>
        <v>449400</v>
      </c>
      <c r="E11" s="245">
        <f t="shared" si="0"/>
        <v>471870</v>
      </c>
    </row>
    <row r="12" spans="1:16372" ht="15.65" x14ac:dyDescent="0.3">
      <c r="A12" s="152">
        <v>2210200</v>
      </c>
      <c r="B12" s="241" t="s">
        <v>26</v>
      </c>
      <c r="C12" s="242">
        <f>C13+C14+C15</f>
        <v>1032000</v>
      </c>
      <c r="D12" s="242">
        <f t="shared" si="0"/>
        <v>1083600</v>
      </c>
      <c r="E12" s="242">
        <f t="shared" si="0"/>
        <v>1137780</v>
      </c>
    </row>
    <row r="13" spans="1:16372" ht="15.65" x14ac:dyDescent="0.3">
      <c r="A13" s="243">
        <v>2210201</v>
      </c>
      <c r="B13" s="67" t="s">
        <v>27</v>
      </c>
      <c r="C13" s="246">
        <v>432000</v>
      </c>
      <c r="D13" s="245">
        <f t="shared" si="0"/>
        <v>453600</v>
      </c>
      <c r="E13" s="245">
        <f t="shared" si="0"/>
        <v>476280</v>
      </c>
    </row>
    <row r="14" spans="1:16372" ht="15.65" x14ac:dyDescent="0.3">
      <c r="A14" s="243">
        <v>2210202</v>
      </c>
      <c r="B14" s="244" t="s">
        <v>457</v>
      </c>
      <c r="C14" s="246">
        <v>340000</v>
      </c>
      <c r="D14" s="245">
        <f t="shared" si="0"/>
        <v>357000</v>
      </c>
      <c r="E14" s="245">
        <f t="shared" si="0"/>
        <v>374850</v>
      </c>
    </row>
    <row r="15" spans="1:16372" ht="15.65" x14ac:dyDescent="0.3">
      <c r="A15" s="243">
        <v>2210203</v>
      </c>
      <c r="B15" s="244" t="s">
        <v>29</v>
      </c>
      <c r="C15" s="246">
        <v>260000</v>
      </c>
      <c r="D15" s="245">
        <f t="shared" si="0"/>
        <v>273000</v>
      </c>
      <c r="E15" s="245">
        <f t="shared" si="0"/>
        <v>286650</v>
      </c>
    </row>
    <row r="16" spans="1:16372" ht="15.65" x14ac:dyDescent="0.3">
      <c r="A16" s="152">
        <v>2210300</v>
      </c>
      <c r="B16" s="241" t="s">
        <v>30</v>
      </c>
      <c r="C16" s="242">
        <f>C17+C18+C19+C20+C21</f>
        <v>1990000</v>
      </c>
      <c r="D16" s="242">
        <f>D17+D18+D19+D20</f>
        <v>1753500</v>
      </c>
      <c r="E16" s="242">
        <f>E17+E18+E19+E20</f>
        <v>1841175</v>
      </c>
    </row>
    <row r="17" spans="1:5" ht="15.65" x14ac:dyDescent="0.3">
      <c r="A17" s="243">
        <v>2210301</v>
      </c>
      <c r="B17" s="244" t="s">
        <v>331</v>
      </c>
      <c r="C17" s="246">
        <v>480000</v>
      </c>
      <c r="D17" s="245">
        <f t="shared" ref="D17:E48" si="1">C17*1.05</f>
        <v>504000</v>
      </c>
      <c r="E17" s="245">
        <f t="shared" si="0"/>
        <v>529200</v>
      </c>
    </row>
    <row r="18" spans="1:5" ht="15.65" x14ac:dyDescent="0.3">
      <c r="A18" s="243">
        <v>2210302</v>
      </c>
      <c r="B18" s="244" t="s">
        <v>458</v>
      </c>
      <c r="C18" s="246">
        <v>450000</v>
      </c>
      <c r="D18" s="245">
        <f t="shared" si="1"/>
        <v>472500</v>
      </c>
      <c r="E18" s="245">
        <f t="shared" si="0"/>
        <v>496125</v>
      </c>
    </row>
    <row r="19" spans="1:5" ht="15.65" x14ac:dyDescent="0.3">
      <c r="A19" s="243">
        <v>2210303</v>
      </c>
      <c r="B19" s="244" t="s">
        <v>32</v>
      </c>
      <c r="C19" s="246">
        <v>390000</v>
      </c>
      <c r="D19" s="245">
        <f t="shared" si="1"/>
        <v>409500</v>
      </c>
      <c r="E19" s="245">
        <f t="shared" si="0"/>
        <v>429975</v>
      </c>
    </row>
    <row r="20" spans="1:5" ht="15.65" x14ac:dyDescent="0.3">
      <c r="A20" s="247">
        <v>2210309</v>
      </c>
      <c r="B20" s="248" t="s">
        <v>116</v>
      </c>
      <c r="C20" s="246">
        <v>350000</v>
      </c>
      <c r="D20" s="245">
        <f t="shared" si="1"/>
        <v>367500</v>
      </c>
      <c r="E20" s="245">
        <f t="shared" si="0"/>
        <v>385875</v>
      </c>
    </row>
    <row r="21" spans="1:5" ht="15.65" x14ac:dyDescent="0.3">
      <c r="A21" s="247">
        <v>2210310</v>
      </c>
      <c r="B21" s="248" t="s">
        <v>567</v>
      </c>
      <c r="C21" s="246">
        <v>320000</v>
      </c>
      <c r="D21" s="245">
        <f t="shared" si="1"/>
        <v>336000</v>
      </c>
      <c r="E21" s="245">
        <f t="shared" si="0"/>
        <v>352800</v>
      </c>
    </row>
    <row r="22" spans="1:5" ht="15.65" x14ac:dyDescent="0.3">
      <c r="A22" s="152">
        <v>2210400</v>
      </c>
      <c r="B22" s="241" t="s">
        <v>462</v>
      </c>
      <c r="C22" s="242">
        <v>0</v>
      </c>
      <c r="D22" s="242">
        <f t="shared" si="1"/>
        <v>0</v>
      </c>
      <c r="E22" s="242">
        <f t="shared" si="1"/>
        <v>0</v>
      </c>
    </row>
    <row r="23" spans="1:5" ht="15.65" x14ac:dyDescent="0.3">
      <c r="A23" s="243">
        <v>2210401</v>
      </c>
      <c r="B23" s="244" t="s">
        <v>463</v>
      </c>
      <c r="C23" s="245">
        <v>0</v>
      </c>
      <c r="D23" s="245">
        <f t="shared" si="1"/>
        <v>0</v>
      </c>
      <c r="E23" s="245">
        <f t="shared" si="1"/>
        <v>0</v>
      </c>
    </row>
    <row r="24" spans="1:5" ht="15.65" x14ac:dyDescent="0.3">
      <c r="A24" s="243">
        <v>2210402</v>
      </c>
      <c r="B24" s="244" t="s">
        <v>568</v>
      </c>
      <c r="C24" s="245">
        <v>0</v>
      </c>
      <c r="D24" s="245">
        <f t="shared" si="1"/>
        <v>0</v>
      </c>
      <c r="E24" s="245">
        <f t="shared" si="1"/>
        <v>0</v>
      </c>
    </row>
    <row r="25" spans="1:5" ht="15.65" x14ac:dyDescent="0.3">
      <c r="A25" s="243">
        <v>2210403</v>
      </c>
      <c r="B25" s="244" t="s">
        <v>465</v>
      </c>
      <c r="C25" s="245">
        <v>0</v>
      </c>
      <c r="D25" s="245">
        <f t="shared" si="1"/>
        <v>0</v>
      </c>
      <c r="E25" s="245">
        <f t="shared" si="1"/>
        <v>0</v>
      </c>
    </row>
    <row r="26" spans="1:5" ht="15.65" x14ac:dyDescent="0.3">
      <c r="A26" s="152">
        <v>2210500</v>
      </c>
      <c r="B26" s="241" t="s">
        <v>38</v>
      </c>
      <c r="C26" s="242">
        <f>C27+C28+C29+C30</f>
        <v>470800</v>
      </c>
      <c r="D26" s="242">
        <f t="shared" si="1"/>
        <v>494340</v>
      </c>
      <c r="E26" s="242">
        <f t="shared" si="1"/>
        <v>519057</v>
      </c>
    </row>
    <row r="27" spans="1:5" ht="15.65" x14ac:dyDescent="0.3">
      <c r="A27" s="243">
        <v>2210502</v>
      </c>
      <c r="B27" s="249" t="s">
        <v>201</v>
      </c>
      <c r="C27" s="246">
        <v>50800</v>
      </c>
      <c r="D27" s="245">
        <f t="shared" si="1"/>
        <v>53340</v>
      </c>
      <c r="E27" s="245">
        <f t="shared" si="1"/>
        <v>56007</v>
      </c>
    </row>
    <row r="28" spans="1:5" ht="15.65" x14ac:dyDescent="0.3">
      <c r="A28" s="243">
        <v>2210503</v>
      </c>
      <c r="B28" s="249" t="s">
        <v>123</v>
      </c>
      <c r="C28" s="246">
        <v>0</v>
      </c>
      <c r="D28" s="245">
        <f t="shared" si="1"/>
        <v>0</v>
      </c>
      <c r="E28" s="245">
        <f t="shared" si="1"/>
        <v>0</v>
      </c>
    </row>
    <row r="29" spans="1:5" ht="15.65" x14ac:dyDescent="0.3">
      <c r="A29" s="243">
        <v>2210504</v>
      </c>
      <c r="B29" s="249" t="s">
        <v>125</v>
      </c>
      <c r="C29" s="246">
        <v>300000</v>
      </c>
      <c r="D29" s="245">
        <f t="shared" si="1"/>
        <v>315000</v>
      </c>
      <c r="E29" s="245">
        <f t="shared" si="1"/>
        <v>330750</v>
      </c>
    </row>
    <row r="30" spans="1:5" ht="15.65" x14ac:dyDescent="0.3">
      <c r="A30" s="243">
        <v>2210505</v>
      </c>
      <c r="B30" s="249" t="s">
        <v>41</v>
      </c>
      <c r="C30" s="246">
        <v>120000</v>
      </c>
      <c r="D30" s="245">
        <f t="shared" si="1"/>
        <v>126000</v>
      </c>
      <c r="E30" s="245">
        <f t="shared" si="1"/>
        <v>132300</v>
      </c>
    </row>
    <row r="31" spans="1:5" ht="15.65" x14ac:dyDescent="0.3">
      <c r="A31" s="152">
        <v>2210600</v>
      </c>
      <c r="B31" s="241" t="s">
        <v>42</v>
      </c>
      <c r="C31" s="242">
        <f>C32+C33</f>
        <v>0</v>
      </c>
      <c r="D31" s="242">
        <f t="shared" si="1"/>
        <v>0</v>
      </c>
      <c r="E31" s="242">
        <f t="shared" si="1"/>
        <v>0</v>
      </c>
    </row>
    <row r="32" spans="1:5" ht="15.65" x14ac:dyDescent="0.3">
      <c r="A32" s="243">
        <v>2210603</v>
      </c>
      <c r="B32" s="244" t="s">
        <v>43</v>
      </c>
      <c r="C32" s="245">
        <v>0</v>
      </c>
      <c r="D32" s="245">
        <f t="shared" si="1"/>
        <v>0</v>
      </c>
      <c r="E32" s="245">
        <f t="shared" si="1"/>
        <v>0</v>
      </c>
    </row>
    <row r="33" spans="1:5" ht="15.65" x14ac:dyDescent="0.3">
      <c r="A33" s="243">
        <v>2210604</v>
      </c>
      <c r="B33" s="244" t="s">
        <v>44</v>
      </c>
      <c r="C33" s="246">
        <v>0</v>
      </c>
      <c r="D33" s="245">
        <f t="shared" si="1"/>
        <v>0</v>
      </c>
      <c r="E33" s="245">
        <f t="shared" si="1"/>
        <v>0</v>
      </c>
    </row>
    <row r="34" spans="1:5" ht="15.65" x14ac:dyDescent="0.3">
      <c r="A34" s="152">
        <v>2210700</v>
      </c>
      <c r="B34" s="241" t="s">
        <v>45</v>
      </c>
      <c r="C34" s="242">
        <f>C35+C36+C37+C38+C39+C40+C41+C42</f>
        <v>1020000</v>
      </c>
      <c r="D34" s="242">
        <f t="shared" si="1"/>
        <v>1071000</v>
      </c>
      <c r="E34" s="242">
        <f t="shared" si="1"/>
        <v>1124550</v>
      </c>
    </row>
    <row r="35" spans="1:5" ht="15.65" x14ac:dyDescent="0.3">
      <c r="A35" s="243" t="s">
        <v>466</v>
      </c>
      <c r="B35" s="244" t="s">
        <v>164</v>
      </c>
      <c r="C35" s="246">
        <v>120000</v>
      </c>
      <c r="D35" s="245">
        <f t="shared" si="1"/>
        <v>126000</v>
      </c>
      <c r="E35" s="245">
        <f t="shared" si="1"/>
        <v>132300</v>
      </c>
    </row>
    <row r="36" spans="1:5" ht="15.65" x14ac:dyDescent="0.3">
      <c r="A36" s="243" t="s">
        <v>413</v>
      </c>
      <c r="B36" s="244" t="s">
        <v>414</v>
      </c>
      <c r="C36" s="245">
        <v>0</v>
      </c>
      <c r="D36" s="245">
        <f t="shared" si="1"/>
        <v>0</v>
      </c>
      <c r="E36" s="245">
        <f t="shared" si="1"/>
        <v>0</v>
      </c>
    </row>
    <row r="37" spans="1:5" ht="15.65" x14ac:dyDescent="0.3">
      <c r="A37" s="243" t="s">
        <v>412</v>
      </c>
      <c r="B37" s="244" t="s">
        <v>398</v>
      </c>
      <c r="C37" s="245">
        <v>0</v>
      </c>
      <c r="D37" s="245">
        <f t="shared" si="1"/>
        <v>0</v>
      </c>
      <c r="E37" s="245">
        <f t="shared" si="1"/>
        <v>0</v>
      </c>
    </row>
    <row r="38" spans="1:5" ht="15.65" x14ac:dyDescent="0.3">
      <c r="A38" s="243">
        <v>2210705</v>
      </c>
      <c r="B38" s="244" t="s">
        <v>46</v>
      </c>
      <c r="C38" s="245">
        <v>0</v>
      </c>
      <c r="D38" s="245">
        <f t="shared" si="1"/>
        <v>0</v>
      </c>
      <c r="E38" s="245">
        <f t="shared" si="1"/>
        <v>0</v>
      </c>
    </row>
    <row r="39" spans="1:5" ht="15.65" x14ac:dyDescent="0.3">
      <c r="A39" s="243" t="s">
        <v>569</v>
      </c>
      <c r="B39" s="244" t="s">
        <v>570</v>
      </c>
      <c r="C39" s="246">
        <v>200000</v>
      </c>
      <c r="D39" s="245">
        <f t="shared" si="1"/>
        <v>210000</v>
      </c>
      <c r="E39" s="245">
        <f t="shared" si="1"/>
        <v>220500</v>
      </c>
    </row>
    <row r="40" spans="1:5" ht="15.65" x14ac:dyDescent="0.3">
      <c r="A40" s="243" t="s">
        <v>332</v>
      </c>
      <c r="B40" s="244" t="s">
        <v>333</v>
      </c>
      <c r="C40" s="246">
        <v>0</v>
      </c>
      <c r="D40" s="245">
        <f t="shared" si="1"/>
        <v>0</v>
      </c>
      <c r="E40" s="245">
        <f t="shared" si="1"/>
        <v>0</v>
      </c>
    </row>
    <row r="41" spans="1:5" ht="15.65" x14ac:dyDescent="0.3">
      <c r="A41" s="243">
        <v>2210710</v>
      </c>
      <c r="B41" s="244" t="s">
        <v>411</v>
      </c>
      <c r="C41" s="246">
        <v>450000</v>
      </c>
      <c r="D41" s="245">
        <f t="shared" si="1"/>
        <v>472500</v>
      </c>
      <c r="E41" s="245">
        <f t="shared" si="1"/>
        <v>496125</v>
      </c>
    </row>
    <row r="42" spans="1:5" ht="15.65" x14ac:dyDescent="0.3">
      <c r="A42" s="243">
        <v>2210711</v>
      </c>
      <c r="B42" s="244" t="s">
        <v>47</v>
      </c>
      <c r="C42" s="246">
        <v>250000</v>
      </c>
      <c r="D42" s="245">
        <f t="shared" si="1"/>
        <v>262500</v>
      </c>
      <c r="E42" s="245">
        <f t="shared" si="1"/>
        <v>275625</v>
      </c>
    </row>
    <row r="43" spans="1:5" ht="15.65" x14ac:dyDescent="0.3">
      <c r="A43" s="152">
        <v>2210800</v>
      </c>
      <c r="B43" s="241" t="s">
        <v>48</v>
      </c>
      <c r="C43" s="242">
        <f>C44+C45</f>
        <v>1150000</v>
      </c>
      <c r="D43" s="242">
        <f t="shared" si="1"/>
        <v>1207500</v>
      </c>
      <c r="E43" s="242">
        <f t="shared" si="1"/>
        <v>1267875</v>
      </c>
    </row>
    <row r="44" spans="1:5" ht="15.65" x14ac:dyDescent="0.3">
      <c r="A44" s="243">
        <v>2210801</v>
      </c>
      <c r="B44" s="244" t="s">
        <v>468</v>
      </c>
      <c r="C44" s="246">
        <v>300000</v>
      </c>
      <c r="D44" s="245">
        <f t="shared" si="1"/>
        <v>315000</v>
      </c>
      <c r="E44" s="245">
        <f t="shared" si="1"/>
        <v>330750</v>
      </c>
    </row>
    <row r="45" spans="1:5" ht="15.65" x14ac:dyDescent="0.3">
      <c r="A45" s="243">
        <v>2210802</v>
      </c>
      <c r="B45" s="244" t="s">
        <v>207</v>
      </c>
      <c r="C45" s="246">
        <v>850000</v>
      </c>
      <c r="D45" s="245">
        <f t="shared" si="1"/>
        <v>892500</v>
      </c>
      <c r="E45" s="245">
        <f t="shared" si="1"/>
        <v>937125</v>
      </c>
    </row>
    <row r="46" spans="1:5" ht="15.65" x14ac:dyDescent="0.3">
      <c r="A46" s="152">
        <v>2210900</v>
      </c>
      <c r="B46" s="241" t="s">
        <v>470</v>
      </c>
      <c r="C46" s="242">
        <f>C47+C48</f>
        <v>1200000</v>
      </c>
      <c r="D46" s="242">
        <f t="shared" si="1"/>
        <v>1260000</v>
      </c>
      <c r="E46" s="242">
        <f t="shared" si="1"/>
        <v>1323000</v>
      </c>
    </row>
    <row r="47" spans="1:5" ht="15.65" x14ac:dyDescent="0.3">
      <c r="A47" s="243">
        <v>2210904</v>
      </c>
      <c r="B47" s="244" t="s">
        <v>66</v>
      </c>
      <c r="C47" s="246">
        <v>1200000</v>
      </c>
      <c r="D47" s="245">
        <f t="shared" si="1"/>
        <v>1260000</v>
      </c>
      <c r="E47" s="245">
        <f t="shared" si="1"/>
        <v>1323000</v>
      </c>
    </row>
    <row r="48" spans="1:5" ht="15.65" x14ac:dyDescent="0.3">
      <c r="A48" s="243">
        <v>2210910</v>
      </c>
      <c r="B48" s="244" t="s">
        <v>402</v>
      </c>
      <c r="C48" s="245">
        <v>0</v>
      </c>
      <c r="D48" s="245">
        <f t="shared" si="1"/>
        <v>0</v>
      </c>
      <c r="E48" s="245">
        <f t="shared" si="1"/>
        <v>0</v>
      </c>
    </row>
    <row r="49" spans="1:5" ht="15.65" x14ac:dyDescent="0.3">
      <c r="A49" s="152">
        <v>2211000</v>
      </c>
      <c r="B49" s="241" t="s">
        <v>51</v>
      </c>
      <c r="C49" s="242">
        <f>C50+C51+C52+C53+C54+C55+C56</f>
        <v>0</v>
      </c>
      <c r="D49" s="242">
        <f t="shared" ref="D49:E81" si="2">C49*1.05</f>
        <v>0</v>
      </c>
      <c r="E49" s="242">
        <f t="shared" si="2"/>
        <v>0</v>
      </c>
    </row>
    <row r="50" spans="1:5" ht="15.65" x14ac:dyDescent="0.3">
      <c r="A50" s="243">
        <v>2211003</v>
      </c>
      <c r="B50" s="244" t="s">
        <v>571</v>
      </c>
      <c r="C50" s="245">
        <v>0</v>
      </c>
      <c r="D50" s="245">
        <f t="shared" si="2"/>
        <v>0</v>
      </c>
      <c r="E50" s="245">
        <f t="shared" si="2"/>
        <v>0</v>
      </c>
    </row>
    <row r="51" spans="1:5" ht="15.65" x14ac:dyDescent="0.3">
      <c r="A51" s="243">
        <v>2211007</v>
      </c>
      <c r="B51" s="244" t="s">
        <v>572</v>
      </c>
      <c r="C51" s="246">
        <v>0</v>
      </c>
      <c r="D51" s="245">
        <f t="shared" si="2"/>
        <v>0</v>
      </c>
      <c r="E51" s="245">
        <f t="shared" si="2"/>
        <v>0</v>
      </c>
    </row>
    <row r="52" spans="1:5" ht="15.65" x14ac:dyDescent="0.3">
      <c r="A52" s="243">
        <v>2211008</v>
      </c>
      <c r="B52" s="244" t="s">
        <v>573</v>
      </c>
      <c r="C52" s="245">
        <v>0</v>
      </c>
      <c r="D52" s="245">
        <f t="shared" si="2"/>
        <v>0</v>
      </c>
      <c r="E52" s="245">
        <f t="shared" si="2"/>
        <v>0</v>
      </c>
    </row>
    <row r="53" spans="1:5" ht="15.65" x14ac:dyDescent="0.3">
      <c r="A53" s="243">
        <v>2211009</v>
      </c>
      <c r="B53" s="244" t="s">
        <v>52</v>
      </c>
      <c r="C53" s="245">
        <v>0</v>
      </c>
      <c r="D53" s="245">
        <f t="shared" si="2"/>
        <v>0</v>
      </c>
      <c r="E53" s="245">
        <f t="shared" si="2"/>
        <v>0</v>
      </c>
    </row>
    <row r="54" spans="1:5" ht="15.65" x14ac:dyDescent="0.3">
      <c r="A54" s="243">
        <v>2211016</v>
      </c>
      <c r="B54" s="244" t="s">
        <v>55</v>
      </c>
      <c r="C54" s="246">
        <v>0</v>
      </c>
      <c r="D54" s="245">
        <f t="shared" si="2"/>
        <v>0</v>
      </c>
      <c r="E54" s="245">
        <f t="shared" si="2"/>
        <v>0</v>
      </c>
    </row>
    <row r="55" spans="1:5" ht="15.65" x14ac:dyDescent="0.3">
      <c r="A55" s="243" t="s">
        <v>223</v>
      </c>
      <c r="B55" s="244" t="s">
        <v>224</v>
      </c>
      <c r="C55" s="245">
        <v>0</v>
      </c>
      <c r="D55" s="245">
        <f t="shared" si="2"/>
        <v>0</v>
      </c>
      <c r="E55" s="245">
        <f t="shared" si="2"/>
        <v>0</v>
      </c>
    </row>
    <row r="56" spans="1:5" ht="15.65" x14ac:dyDescent="0.3">
      <c r="A56" s="243">
        <v>2211023</v>
      </c>
      <c r="B56" s="244" t="s">
        <v>574</v>
      </c>
      <c r="C56" s="245">
        <v>0</v>
      </c>
      <c r="D56" s="245">
        <f t="shared" si="2"/>
        <v>0</v>
      </c>
      <c r="E56" s="245">
        <f t="shared" si="2"/>
        <v>0</v>
      </c>
    </row>
    <row r="57" spans="1:5" ht="15.65" x14ac:dyDescent="0.3">
      <c r="A57" s="152">
        <v>2211100</v>
      </c>
      <c r="B57" s="241" t="s">
        <v>56</v>
      </c>
      <c r="C57" s="242">
        <f>C58+C59+C60</f>
        <v>490000</v>
      </c>
      <c r="D57" s="242">
        <f t="shared" si="2"/>
        <v>514500</v>
      </c>
      <c r="E57" s="242">
        <f t="shared" si="2"/>
        <v>540225</v>
      </c>
    </row>
    <row r="58" spans="1:5" ht="15.65" x14ac:dyDescent="0.3">
      <c r="A58" s="243">
        <v>2211101</v>
      </c>
      <c r="B58" s="244" t="s">
        <v>228</v>
      </c>
      <c r="C58" s="246">
        <v>220000</v>
      </c>
      <c r="D58" s="245">
        <f t="shared" si="2"/>
        <v>231000</v>
      </c>
      <c r="E58" s="245">
        <f t="shared" si="2"/>
        <v>242550</v>
      </c>
    </row>
    <row r="59" spans="1:5" ht="15.65" x14ac:dyDescent="0.3">
      <c r="A59" s="250" t="s">
        <v>229</v>
      </c>
      <c r="B59" s="244" t="s">
        <v>58</v>
      </c>
      <c r="C59" s="246">
        <v>120000</v>
      </c>
      <c r="D59" s="245">
        <f t="shared" si="2"/>
        <v>126000</v>
      </c>
      <c r="E59" s="245">
        <f t="shared" si="2"/>
        <v>132300</v>
      </c>
    </row>
    <row r="60" spans="1:5" ht="15.65" x14ac:dyDescent="0.3">
      <c r="A60" s="243">
        <v>2211103</v>
      </c>
      <c r="B60" s="244" t="s">
        <v>230</v>
      </c>
      <c r="C60" s="246">
        <v>150000</v>
      </c>
      <c r="D60" s="245">
        <f t="shared" si="2"/>
        <v>157500</v>
      </c>
      <c r="E60" s="245">
        <f t="shared" si="2"/>
        <v>165375</v>
      </c>
    </row>
    <row r="61" spans="1:5" ht="15.65" x14ac:dyDescent="0.3">
      <c r="A61" s="152">
        <v>2211200</v>
      </c>
      <c r="B61" s="241" t="s">
        <v>60</v>
      </c>
      <c r="C61" s="242">
        <f>C62</f>
        <v>1000000</v>
      </c>
      <c r="D61" s="242">
        <f t="shared" si="2"/>
        <v>1050000</v>
      </c>
      <c r="E61" s="242">
        <f t="shared" si="2"/>
        <v>1102500</v>
      </c>
    </row>
    <row r="62" spans="1:5" ht="15.65" x14ac:dyDescent="0.3">
      <c r="A62" s="243">
        <v>2211201</v>
      </c>
      <c r="B62" s="244" t="s">
        <v>61</v>
      </c>
      <c r="C62" s="246">
        <v>1000000</v>
      </c>
      <c r="D62" s="245">
        <f t="shared" si="2"/>
        <v>1050000</v>
      </c>
      <c r="E62" s="245">
        <f t="shared" si="2"/>
        <v>1102500</v>
      </c>
    </row>
    <row r="63" spans="1:5" ht="15.65" x14ac:dyDescent="0.3">
      <c r="A63" s="152">
        <v>2211300</v>
      </c>
      <c r="B63" s="241" t="s">
        <v>62</v>
      </c>
      <c r="C63" s="242">
        <f>C64+C65+C66+C67+C68+C69</f>
        <v>1549003.2</v>
      </c>
      <c r="D63" s="242">
        <f t="shared" si="2"/>
        <v>1626453.36</v>
      </c>
      <c r="E63" s="242">
        <f t="shared" si="2"/>
        <v>1707776.0280000002</v>
      </c>
    </row>
    <row r="64" spans="1:5" ht="15.65" x14ac:dyDescent="0.3">
      <c r="A64" s="243">
        <v>2211301</v>
      </c>
      <c r="B64" s="244" t="s">
        <v>63</v>
      </c>
      <c r="C64" s="245">
        <v>0</v>
      </c>
      <c r="D64" s="245">
        <f t="shared" si="2"/>
        <v>0</v>
      </c>
      <c r="E64" s="245">
        <f t="shared" si="2"/>
        <v>0</v>
      </c>
    </row>
    <row r="65" spans="1:5" ht="15.65" x14ac:dyDescent="0.3">
      <c r="A65" s="243">
        <v>2211305</v>
      </c>
      <c r="B65" s="244" t="s">
        <v>575</v>
      </c>
      <c r="C65" s="245">
        <v>0</v>
      </c>
      <c r="D65" s="245">
        <f t="shared" si="2"/>
        <v>0</v>
      </c>
      <c r="E65" s="245">
        <f t="shared" si="2"/>
        <v>0</v>
      </c>
    </row>
    <row r="66" spans="1:5" ht="15.65" x14ac:dyDescent="0.3">
      <c r="A66" s="243">
        <v>2211306</v>
      </c>
      <c r="B66" s="244" t="s">
        <v>65</v>
      </c>
      <c r="C66" s="246">
        <v>249003.2</v>
      </c>
      <c r="D66" s="245">
        <f t="shared" si="2"/>
        <v>261453.36000000002</v>
      </c>
      <c r="E66" s="245">
        <f t="shared" si="2"/>
        <v>274526.02800000005</v>
      </c>
    </row>
    <row r="67" spans="1:5" ht="15.65" x14ac:dyDescent="0.3">
      <c r="A67" s="251" t="s">
        <v>419</v>
      </c>
      <c r="B67" s="244" t="s">
        <v>471</v>
      </c>
      <c r="C67" s="246">
        <v>450000</v>
      </c>
      <c r="D67" s="245">
        <f t="shared" si="2"/>
        <v>472500</v>
      </c>
      <c r="E67" s="245">
        <f t="shared" si="2"/>
        <v>496125</v>
      </c>
    </row>
    <row r="68" spans="1:5" ht="15.65" x14ac:dyDescent="0.3">
      <c r="A68" s="243">
        <v>2211308</v>
      </c>
      <c r="B68" s="244" t="s">
        <v>69</v>
      </c>
      <c r="C68" s="246">
        <v>0</v>
      </c>
      <c r="D68" s="245">
        <f t="shared" si="2"/>
        <v>0</v>
      </c>
      <c r="E68" s="245">
        <f t="shared" si="2"/>
        <v>0</v>
      </c>
    </row>
    <row r="69" spans="1:5" ht="15.65" x14ac:dyDescent="0.3">
      <c r="A69" s="250" t="s">
        <v>473</v>
      </c>
      <c r="B69" s="244" t="s">
        <v>474</v>
      </c>
      <c r="C69" s="246">
        <v>850000</v>
      </c>
      <c r="D69" s="245">
        <f t="shared" si="2"/>
        <v>892500</v>
      </c>
      <c r="E69" s="245">
        <f t="shared" si="2"/>
        <v>937125</v>
      </c>
    </row>
    <row r="70" spans="1:5" ht="15.65" x14ac:dyDescent="0.3">
      <c r="A70" s="152">
        <v>2220100</v>
      </c>
      <c r="B70" s="241" t="s">
        <v>71</v>
      </c>
      <c r="C70" s="242">
        <f>C71</f>
        <v>1000000</v>
      </c>
      <c r="D70" s="242">
        <f t="shared" si="2"/>
        <v>1050000</v>
      </c>
      <c r="E70" s="242">
        <f t="shared" si="2"/>
        <v>1102500</v>
      </c>
    </row>
    <row r="71" spans="1:5" ht="15.65" x14ac:dyDescent="0.3">
      <c r="A71" s="243">
        <v>2220101</v>
      </c>
      <c r="B71" s="244" t="s">
        <v>72</v>
      </c>
      <c r="C71" s="246">
        <v>1000000</v>
      </c>
      <c r="D71" s="245">
        <f t="shared" si="2"/>
        <v>1050000</v>
      </c>
      <c r="E71" s="245">
        <f t="shared" si="2"/>
        <v>1102500</v>
      </c>
    </row>
    <row r="72" spans="1:5" ht="15.65" x14ac:dyDescent="0.3">
      <c r="A72" s="152">
        <v>2220200</v>
      </c>
      <c r="B72" s="241" t="s">
        <v>73</v>
      </c>
      <c r="C72" s="242">
        <f>C73+C74+C75+C76</f>
        <v>464772</v>
      </c>
      <c r="D72" s="242">
        <f t="shared" si="2"/>
        <v>488010.60000000003</v>
      </c>
      <c r="E72" s="242">
        <f t="shared" si="2"/>
        <v>512411.13000000006</v>
      </c>
    </row>
    <row r="73" spans="1:5" ht="15.65" x14ac:dyDescent="0.3">
      <c r="A73" s="243">
        <v>2220201</v>
      </c>
      <c r="B73" s="244" t="s">
        <v>576</v>
      </c>
      <c r="C73" s="246">
        <v>0</v>
      </c>
      <c r="D73" s="245">
        <f t="shared" si="2"/>
        <v>0</v>
      </c>
      <c r="E73" s="245">
        <f t="shared" si="2"/>
        <v>0</v>
      </c>
    </row>
    <row r="74" spans="1:5" ht="15.65" x14ac:dyDescent="0.3">
      <c r="A74" s="243">
        <v>2220202</v>
      </c>
      <c r="B74" s="244" t="s">
        <v>75</v>
      </c>
      <c r="C74" s="246">
        <v>0</v>
      </c>
      <c r="D74" s="245">
        <f t="shared" si="2"/>
        <v>0</v>
      </c>
      <c r="E74" s="245">
        <f t="shared" si="2"/>
        <v>0</v>
      </c>
    </row>
    <row r="75" spans="1:5" ht="15.65" x14ac:dyDescent="0.3">
      <c r="A75" s="243">
        <v>2220205</v>
      </c>
      <c r="B75" s="244" t="s">
        <v>76</v>
      </c>
      <c r="C75" s="246">
        <v>152000</v>
      </c>
      <c r="D75" s="245">
        <f t="shared" si="2"/>
        <v>159600</v>
      </c>
      <c r="E75" s="245">
        <f t="shared" si="2"/>
        <v>167580</v>
      </c>
    </row>
    <row r="76" spans="1:5" ht="15.65" x14ac:dyDescent="0.3">
      <c r="A76" s="243">
        <v>2220210</v>
      </c>
      <c r="B76" s="244" t="s">
        <v>577</v>
      </c>
      <c r="C76" s="89">
        <f>500000-187228</f>
        <v>312772</v>
      </c>
      <c r="D76" s="245">
        <f t="shared" si="2"/>
        <v>328410.60000000003</v>
      </c>
      <c r="E76" s="245">
        <f t="shared" si="2"/>
        <v>344831.13000000006</v>
      </c>
    </row>
    <row r="77" spans="1:5" s="253" customFormat="1" ht="15.65" x14ac:dyDescent="0.3">
      <c r="A77" s="152">
        <v>2410104</v>
      </c>
      <c r="B77" s="241" t="s">
        <v>578</v>
      </c>
      <c r="C77" s="252">
        <v>0</v>
      </c>
      <c r="D77" s="242">
        <f>C77*1.05</f>
        <v>0</v>
      </c>
      <c r="E77" s="242">
        <f t="shared" si="2"/>
        <v>0</v>
      </c>
    </row>
    <row r="78" spans="1:5" ht="15.65" x14ac:dyDescent="0.3">
      <c r="A78" s="152">
        <v>2710100</v>
      </c>
      <c r="B78" s="241" t="s">
        <v>78</v>
      </c>
      <c r="C78" s="242">
        <f>C79+C80</f>
        <v>0</v>
      </c>
      <c r="D78" s="242">
        <f t="shared" si="2"/>
        <v>0</v>
      </c>
      <c r="E78" s="242">
        <f t="shared" si="2"/>
        <v>0</v>
      </c>
    </row>
    <row r="79" spans="1:5" ht="15.65" x14ac:dyDescent="0.3">
      <c r="A79" s="243">
        <v>2710102</v>
      </c>
      <c r="B79" s="244" t="s">
        <v>79</v>
      </c>
      <c r="C79" s="245">
        <v>0</v>
      </c>
      <c r="D79" s="245">
        <f t="shared" si="2"/>
        <v>0</v>
      </c>
      <c r="E79" s="245">
        <f t="shared" si="2"/>
        <v>0</v>
      </c>
    </row>
    <row r="80" spans="1:5" ht="15.65" x14ac:dyDescent="0.3">
      <c r="A80" s="243">
        <v>2710107</v>
      </c>
      <c r="B80" s="244" t="s">
        <v>476</v>
      </c>
      <c r="C80" s="245">
        <v>0</v>
      </c>
      <c r="D80" s="245">
        <f t="shared" si="2"/>
        <v>0</v>
      </c>
      <c r="E80" s="245">
        <f t="shared" si="2"/>
        <v>0</v>
      </c>
    </row>
    <row r="81" spans="1:7" ht="15.65" x14ac:dyDescent="0.3">
      <c r="A81" s="152">
        <v>3110900</v>
      </c>
      <c r="B81" s="241" t="s">
        <v>81</v>
      </c>
      <c r="C81" s="242">
        <f>C82</f>
        <v>0</v>
      </c>
      <c r="D81" s="242">
        <f t="shared" si="2"/>
        <v>0</v>
      </c>
      <c r="E81" s="242">
        <f t="shared" si="2"/>
        <v>0</v>
      </c>
    </row>
    <row r="82" spans="1:7" ht="15.65" x14ac:dyDescent="0.3">
      <c r="A82" s="243">
        <v>3110901</v>
      </c>
      <c r="B82" s="244" t="s">
        <v>477</v>
      </c>
      <c r="C82" s="245">
        <v>0</v>
      </c>
      <c r="D82" s="245">
        <f t="shared" ref="D82:E97" si="3">C82*1.05</f>
        <v>0</v>
      </c>
      <c r="E82" s="245">
        <f t="shared" si="3"/>
        <v>0</v>
      </c>
    </row>
    <row r="83" spans="1:7" ht="15.65" x14ac:dyDescent="0.3">
      <c r="A83" s="152">
        <v>3111000</v>
      </c>
      <c r="B83" s="241" t="s">
        <v>82</v>
      </c>
      <c r="C83" s="242">
        <f>C84+C85</f>
        <v>0</v>
      </c>
      <c r="D83" s="242">
        <f t="shared" si="3"/>
        <v>0</v>
      </c>
      <c r="E83" s="242">
        <f t="shared" si="3"/>
        <v>0</v>
      </c>
    </row>
    <row r="84" spans="1:7" ht="15.65" x14ac:dyDescent="0.3">
      <c r="A84" s="243">
        <v>3111001</v>
      </c>
      <c r="B84" s="244" t="s">
        <v>83</v>
      </c>
      <c r="C84" s="246">
        <v>0</v>
      </c>
      <c r="D84" s="245">
        <f t="shared" si="3"/>
        <v>0</v>
      </c>
      <c r="E84" s="245">
        <f t="shared" si="3"/>
        <v>0</v>
      </c>
    </row>
    <row r="85" spans="1:7" ht="15.65" x14ac:dyDescent="0.3">
      <c r="A85" s="243">
        <v>3111002</v>
      </c>
      <c r="B85" s="244" t="s">
        <v>84</v>
      </c>
      <c r="C85" s="246">
        <v>0</v>
      </c>
      <c r="D85" s="245">
        <f t="shared" si="3"/>
        <v>0</v>
      </c>
      <c r="E85" s="245">
        <f t="shared" si="3"/>
        <v>0</v>
      </c>
    </row>
    <row r="86" spans="1:7" s="253" customFormat="1" ht="15.65" x14ac:dyDescent="0.3">
      <c r="A86" s="152">
        <v>3111400</v>
      </c>
      <c r="B86" s="254" t="s">
        <v>478</v>
      </c>
      <c r="C86" s="242">
        <f>C87</f>
        <v>0</v>
      </c>
      <c r="D86" s="242">
        <f t="shared" si="3"/>
        <v>0</v>
      </c>
      <c r="E86" s="242">
        <f t="shared" si="3"/>
        <v>0</v>
      </c>
    </row>
    <row r="87" spans="1:7" ht="15.65" x14ac:dyDescent="0.3">
      <c r="A87" s="243">
        <v>3111401</v>
      </c>
      <c r="B87" s="249" t="s">
        <v>478</v>
      </c>
      <c r="C87" s="246">
        <v>0</v>
      </c>
      <c r="D87" s="245">
        <f t="shared" si="3"/>
        <v>0</v>
      </c>
      <c r="E87" s="245">
        <f t="shared" si="3"/>
        <v>0</v>
      </c>
    </row>
    <row r="88" spans="1:7" ht="15.65" x14ac:dyDescent="0.3">
      <c r="A88" s="152"/>
      <c r="B88" s="241" t="s">
        <v>479</v>
      </c>
      <c r="C88" s="242">
        <f>C86+C83+C81+C78+C77+C72+C70+C63+C61+C57+C49+C46+C43+C34+C31+C26+C16+C12+C9+C7+C5</f>
        <v>191749794.744876</v>
      </c>
      <c r="D88" s="242">
        <f t="shared" si="3"/>
        <v>201337284.4821198</v>
      </c>
      <c r="E88" s="242">
        <f t="shared" si="3"/>
        <v>211404148.70622581</v>
      </c>
    </row>
    <row r="89" spans="1:7" ht="15.65" x14ac:dyDescent="0.3">
      <c r="A89" s="152"/>
      <c r="B89" s="241" t="s">
        <v>88</v>
      </c>
      <c r="C89" s="245"/>
      <c r="D89" s="245">
        <f t="shared" si="3"/>
        <v>0</v>
      </c>
      <c r="E89" s="245">
        <f t="shared" si="3"/>
        <v>0</v>
      </c>
    </row>
    <row r="90" spans="1:7" ht="15.65" x14ac:dyDescent="0.3">
      <c r="A90" s="243"/>
      <c r="B90" s="244" t="s">
        <v>579</v>
      </c>
      <c r="C90" s="245">
        <v>18500000</v>
      </c>
      <c r="D90" s="245">
        <f t="shared" si="3"/>
        <v>19425000</v>
      </c>
      <c r="E90" s="245">
        <f t="shared" si="3"/>
        <v>20396250</v>
      </c>
    </row>
    <row r="91" spans="1:7" ht="15.65" x14ac:dyDescent="0.3">
      <c r="A91" s="243"/>
      <c r="B91" s="244" t="s">
        <v>580</v>
      </c>
      <c r="C91" s="245">
        <v>3000000</v>
      </c>
      <c r="D91" s="245">
        <f t="shared" si="3"/>
        <v>3150000</v>
      </c>
      <c r="E91" s="245">
        <f t="shared" si="3"/>
        <v>3307500</v>
      </c>
    </row>
    <row r="92" spans="1:7" s="253" customFormat="1" ht="15.65" x14ac:dyDescent="0.3">
      <c r="A92" s="152"/>
      <c r="B92" s="241" t="s">
        <v>581</v>
      </c>
      <c r="C92" s="242">
        <f>SUM(C90:C91)</f>
        <v>21500000</v>
      </c>
      <c r="D92" s="242">
        <f t="shared" si="3"/>
        <v>22575000</v>
      </c>
      <c r="E92" s="242">
        <f t="shared" si="3"/>
        <v>23703750</v>
      </c>
    </row>
    <row r="93" spans="1:7" ht="15.65" x14ac:dyDescent="0.3">
      <c r="A93" s="243"/>
      <c r="B93" s="241" t="s">
        <v>89</v>
      </c>
      <c r="C93" s="242">
        <f>C88-C92</f>
        <v>170249794.744876</v>
      </c>
      <c r="D93" s="242">
        <f t="shared" si="3"/>
        <v>178762284.4821198</v>
      </c>
      <c r="E93" s="242">
        <f t="shared" si="3"/>
        <v>187700398.70622578</v>
      </c>
    </row>
    <row r="94" spans="1:7" ht="15.65" x14ac:dyDescent="0.3">
      <c r="A94" s="243"/>
      <c r="B94" s="241"/>
      <c r="C94" s="245"/>
      <c r="D94" s="255">
        <f t="shared" si="3"/>
        <v>0</v>
      </c>
      <c r="E94" s="255">
        <f t="shared" si="3"/>
        <v>0</v>
      </c>
    </row>
    <row r="95" spans="1:7" ht="15.65" x14ac:dyDescent="0.3">
      <c r="A95" s="243"/>
      <c r="B95" s="241" t="s">
        <v>480</v>
      </c>
      <c r="C95" s="245"/>
      <c r="D95" s="255">
        <f t="shared" si="3"/>
        <v>0</v>
      </c>
      <c r="E95" s="255">
        <f t="shared" si="3"/>
        <v>0</v>
      </c>
    </row>
    <row r="96" spans="1:7" ht="16.25" thickBot="1" x14ac:dyDescent="0.35">
      <c r="A96" s="243">
        <v>2640503</v>
      </c>
      <c r="B96" s="244" t="s">
        <v>792</v>
      </c>
      <c r="C96" s="255">
        <v>156515152</v>
      </c>
      <c r="D96" s="255">
        <f t="shared" si="3"/>
        <v>164340909.59999999</v>
      </c>
      <c r="E96" s="255">
        <f t="shared" si="3"/>
        <v>172557955.08000001</v>
      </c>
      <c r="F96" s="701"/>
      <c r="G96" s="702"/>
    </row>
    <row r="97" spans="1:7" ht="16.25" thickBot="1" x14ac:dyDescent="0.35">
      <c r="A97" s="243">
        <v>3111301</v>
      </c>
      <c r="B97" s="249" t="s">
        <v>582</v>
      </c>
      <c r="C97" s="255">
        <f>64000000-8000000</f>
        <v>56000000</v>
      </c>
      <c r="D97" s="255">
        <f t="shared" si="3"/>
        <v>58800000</v>
      </c>
      <c r="E97" s="255">
        <f t="shared" si="3"/>
        <v>61740000</v>
      </c>
      <c r="F97" s="701"/>
      <c r="G97" s="702"/>
    </row>
    <row r="98" spans="1:7" ht="16.25" thickBot="1" x14ac:dyDescent="0.35">
      <c r="A98" s="243">
        <v>3110504</v>
      </c>
      <c r="B98" s="249" t="s">
        <v>583</v>
      </c>
      <c r="C98" s="255">
        <f>-7712499.9752+52000000</f>
        <v>44287500.024800003</v>
      </c>
      <c r="D98" s="255">
        <f t="shared" ref="D98:E113" si="4">C98*1.05</f>
        <v>46501875.026040003</v>
      </c>
      <c r="E98" s="255">
        <f t="shared" si="4"/>
        <v>48826968.777342007</v>
      </c>
      <c r="F98" s="701"/>
      <c r="G98" s="702"/>
    </row>
    <row r="99" spans="1:7" ht="15.65" x14ac:dyDescent="0.3">
      <c r="A99" s="243">
        <v>2410104</v>
      </c>
      <c r="B99" s="249" t="s">
        <v>584</v>
      </c>
      <c r="C99" s="255">
        <v>0</v>
      </c>
      <c r="D99" s="255">
        <f t="shared" si="4"/>
        <v>0</v>
      </c>
      <c r="E99" s="255">
        <f t="shared" si="4"/>
        <v>0</v>
      </c>
    </row>
    <row r="100" spans="1:7" ht="15.65" x14ac:dyDescent="0.3">
      <c r="A100" s="243">
        <v>3111103</v>
      </c>
      <c r="B100" s="249" t="s">
        <v>585</v>
      </c>
      <c r="C100" s="255">
        <v>0</v>
      </c>
      <c r="D100" s="255">
        <f t="shared" si="4"/>
        <v>0</v>
      </c>
      <c r="E100" s="255">
        <f t="shared" si="4"/>
        <v>0</v>
      </c>
      <c r="F100" s="11">
        <v>7712499.9749999996</v>
      </c>
      <c r="G100" s="4"/>
    </row>
    <row r="101" spans="1:7" ht="15.65" x14ac:dyDescent="0.3">
      <c r="A101" s="243">
        <v>2211007</v>
      </c>
      <c r="B101" s="244" t="s">
        <v>755</v>
      </c>
      <c r="C101" s="255">
        <v>0</v>
      </c>
      <c r="D101" s="255">
        <f t="shared" si="4"/>
        <v>0</v>
      </c>
      <c r="E101" s="255">
        <f t="shared" si="4"/>
        <v>0</v>
      </c>
    </row>
    <row r="102" spans="1:7" ht="15.65" x14ac:dyDescent="0.3">
      <c r="A102" s="243">
        <v>2210904</v>
      </c>
      <c r="B102" s="249" t="s">
        <v>756</v>
      </c>
      <c r="C102" s="255">
        <v>0</v>
      </c>
      <c r="D102" s="255">
        <f t="shared" si="4"/>
        <v>0</v>
      </c>
      <c r="E102" s="255">
        <f t="shared" si="4"/>
        <v>0</v>
      </c>
    </row>
    <row r="103" spans="1:7" ht="15.65" x14ac:dyDescent="0.3">
      <c r="A103" s="243">
        <v>3120199</v>
      </c>
      <c r="B103" s="249" t="s">
        <v>586</v>
      </c>
      <c r="C103" s="255">
        <v>270000000</v>
      </c>
      <c r="D103" s="255">
        <f t="shared" si="4"/>
        <v>283500000</v>
      </c>
      <c r="E103" s="255">
        <f t="shared" si="4"/>
        <v>297675000</v>
      </c>
      <c r="F103" s="11">
        <f>326/2</f>
        <v>163</v>
      </c>
    </row>
    <row r="104" spans="1:7" ht="15.65" x14ac:dyDescent="0.3">
      <c r="A104" s="243">
        <v>3110599</v>
      </c>
      <c r="B104" s="249" t="s">
        <v>330</v>
      </c>
      <c r="C104" s="256">
        <v>0</v>
      </c>
      <c r="D104" s="255">
        <f t="shared" si="4"/>
        <v>0</v>
      </c>
      <c r="E104" s="255">
        <f t="shared" si="4"/>
        <v>0</v>
      </c>
    </row>
    <row r="105" spans="1:7" ht="15.65" x14ac:dyDescent="0.3">
      <c r="A105" s="243">
        <v>2210309</v>
      </c>
      <c r="B105" s="249" t="s">
        <v>757</v>
      </c>
      <c r="C105" s="256">
        <v>0</v>
      </c>
      <c r="D105" s="255">
        <f t="shared" si="4"/>
        <v>0</v>
      </c>
      <c r="E105" s="255">
        <f t="shared" si="4"/>
        <v>0</v>
      </c>
    </row>
    <row r="106" spans="1:7" ht="15.65" x14ac:dyDescent="0.3">
      <c r="A106" s="152"/>
      <c r="B106" s="241" t="s">
        <v>160</v>
      </c>
      <c r="C106" s="242">
        <f>SUM(C96:C105)</f>
        <v>526802652.0248</v>
      </c>
      <c r="D106" s="242">
        <f t="shared" si="4"/>
        <v>553142784.62603998</v>
      </c>
      <c r="E106" s="242">
        <f t="shared" si="4"/>
        <v>580799923.857342</v>
      </c>
    </row>
    <row r="107" spans="1:7" ht="15.65" x14ac:dyDescent="0.3">
      <c r="A107" s="152"/>
      <c r="B107" s="241" t="s">
        <v>156</v>
      </c>
      <c r="C107" s="242">
        <f>C88</f>
        <v>191749794.744876</v>
      </c>
      <c r="D107" s="242">
        <f t="shared" si="4"/>
        <v>201337284.4821198</v>
      </c>
      <c r="E107" s="242">
        <f t="shared" si="4"/>
        <v>211404148.70622581</v>
      </c>
    </row>
    <row r="108" spans="1:7" ht="15.65" x14ac:dyDescent="0.3">
      <c r="A108" s="152"/>
      <c r="B108" s="241" t="s">
        <v>587</v>
      </c>
      <c r="C108" s="242">
        <f>C106+C107</f>
        <v>718552446.76967597</v>
      </c>
      <c r="D108" s="242">
        <f t="shared" si="4"/>
        <v>754480069.10815978</v>
      </c>
      <c r="E108" s="242">
        <f t="shared" si="4"/>
        <v>792204072.56356776</v>
      </c>
    </row>
    <row r="109" spans="1:7" ht="15.65" x14ac:dyDescent="0.3">
      <c r="A109" s="243"/>
      <c r="B109" s="241" t="s">
        <v>588</v>
      </c>
      <c r="C109" s="245"/>
      <c r="D109" s="245">
        <f t="shared" si="4"/>
        <v>0</v>
      </c>
      <c r="E109" s="245">
        <f t="shared" si="4"/>
        <v>0</v>
      </c>
    </row>
    <row r="110" spans="1:7" ht="15.65" x14ac:dyDescent="0.3">
      <c r="A110" s="110">
        <v>2210310</v>
      </c>
      <c r="B110" s="248" t="s">
        <v>589</v>
      </c>
      <c r="C110" s="246">
        <v>700000</v>
      </c>
      <c r="D110" s="245">
        <f t="shared" si="4"/>
        <v>735000</v>
      </c>
      <c r="E110" s="245">
        <f t="shared" si="4"/>
        <v>771750</v>
      </c>
    </row>
    <row r="111" spans="1:7" ht="15.65" x14ac:dyDescent="0.3">
      <c r="A111" s="152"/>
      <c r="B111" s="241" t="s">
        <v>590</v>
      </c>
      <c r="C111" s="242">
        <f>C110</f>
        <v>700000</v>
      </c>
      <c r="D111" s="242">
        <f t="shared" si="4"/>
        <v>735000</v>
      </c>
      <c r="E111" s="242">
        <f t="shared" si="4"/>
        <v>771750</v>
      </c>
    </row>
    <row r="112" spans="1:7" ht="15.65" x14ac:dyDescent="0.3">
      <c r="A112" s="243"/>
      <c r="B112" s="241" t="s">
        <v>591</v>
      </c>
      <c r="C112" s="245"/>
      <c r="D112" s="245">
        <f t="shared" si="4"/>
        <v>0</v>
      </c>
      <c r="E112" s="245">
        <f t="shared" si="4"/>
        <v>0</v>
      </c>
    </row>
    <row r="113" spans="1:5" ht="15.65" x14ac:dyDescent="0.3">
      <c r="A113" s="243"/>
      <c r="B113" s="241" t="s">
        <v>566</v>
      </c>
      <c r="C113" s="245"/>
      <c r="D113" s="245">
        <f t="shared" si="4"/>
        <v>0</v>
      </c>
      <c r="E113" s="245">
        <f t="shared" si="4"/>
        <v>0</v>
      </c>
    </row>
    <row r="114" spans="1:5" ht="15.65" x14ac:dyDescent="0.3">
      <c r="A114" s="152">
        <v>2210100</v>
      </c>
      <c r="B114" s="241" t="s">
        <v>23</v>
      </c>
      <c r="C114" s="242">
        <f>C115+C116</f>
        <v>488000</v>
      </c>
      <c r="D114" s="242">
        <f t="shared" ref="D114:E171" si="5">C114*1.05</f>
        <v>512400</v>
      </c>
      <c r="E114" s="242">
        <f t="shared" si="5"/>
        <v>538020</v>
      </c>
    </row>
    <row r="115" spans="1:5" ht="15.65" x14ac:dyDescent="0.3">
      <c r="A115" s="243">
        <v>2210101</v>
      </c>
      <c r="B115" s="244" t="s">
        <v>24</v>
      </c>
      <c r="C115" s="246">
        <v>448000</v>
      </c>
      <c r="D115" s="245">
        <f t="shared" si="5"/>
        <v>470400</v>
      </c>
      <c r="E115" s="245">
        <f t="shared" si="5"/>
        <v>493920</v>
      </c>
    </row>
    <row r="116" spans="1:5" ht="15.65" x14ac:dyDescent="0.3">
      <c r="A116" s="243">
        <v>2210102</v>
      </c>
      <c r="B116" s="244" t="s">
        <v>25</v>
      </c>
      <c r="C116" s="246">
        <v>40000</v>
      </c>
      <c r="D116" s="245">
        <f t="shared" si="5"/>
        <v>42000</v>
      </c>
      <c r="E116" s="245">
        <f t="shared" si="5"/>
        <v>44100</v>
      </c>
    </row>
    <row r="117" spans="1:5" ht="15.65" x14ac:dyDescent="0.3">
      <c r="A117" s="152">
        <v>2210200</v>
      </c>
      <c r="B117" s="241" t="s">
        <v>26</v>
      </c>
      <c r="C117" s="242">
        <f>C118+C119+C120</f>
        <v>201600</v>
      </c>
      <c r="D117" s="242">
        <f t="shared" si="5"/>
        <v>211680</v>
      </c>
      <c r="E117" s="242">
        <f t="shared" si="5"/>
        <v>222264</v>
      </c>
    </row>
    <row r="118" spans="1:5" ht="15.65" x14ac:dyDescent="0.3">
      <c r="A118" s="243">
        <v>2210201</v>
      </c>
      <c r="B118" s="67" t="s">
        <v>27</v>
      </c>
      <c r="C118" s="246">
        <v>78400</v>
      </c>
      <c r="D118" s="245">
        <f t="shared" si="5"/>
        <v>82320</v>
      </c>
      <c r="E118" s="245">
        <f t="shared" si="5"/>
        <v>86436</v>
      </c>
    </row>
    <row r="119" spans="1:5" ht="15.65" x14ac:dyDescent="0.3">
      <c r="A119" s="243">
        <v>2210202</v>
      </c>
      <c r="B119" s="244" t="s">
        <v>457</v>
      </c>
      <c r="C119" s="246">
        <v>115200</v>
      </c>
      <c r="D119" s="245">
        <f t="shared" si="5"/>
        <v>120960</v>
      </c>
      <c r="E119" s="245">
        <f t="shared" si="5"/>
        <v>127008</v>
      </c>
    </row>
    <row r="120" spans="1:5" ht="15.65" x14ac:dyDescent="0.3">
      <c r="A120" s="243">
        <v>2210203</v>
      </c>
      <c r="B120" s="244" t="s">
        <v>29</v>
      </c>
      <c r="C120" s="246">
        <v>8000</v>
      </c>
      <c r="D120" s="245">
        <f t="shared" si="5"/>
        <v>8400</v>
      </c>
      <c r="E120" s="245">
        <f t="shared" si="5"/>
        <v>8820</v>
      </c>
    </row>
    <row r="121" spans="1:5" ht="15.65" x14ac:dyDescent="0.3">
      <c r="A121" s="152">
        <v>2210300</v>
      </c>
      <c r="B121" s="241" t="s">
        <v>30</v>
      </c>
      <c r="C121" s="242"/>
      <c r="D121" s="242">
        <f t="shared" si="5"/>
        <v>0</v>
      </c>
      <c r="E121" s="242">
        <f t="shared" si="5"/>
        <v>0</v>
      </c>
    </row>
    <row r="122" spans="1:5" ht="15.65" x14ac:dyDescent="0.3">
      <c r="A122" s="243">
        <v>2210301</v>
      </c>
      <c r="B122" s="244" t="s">
        <v>331</v>
      </c>
      <c r="C122" s="245">
        <v>80000</v>
      </c>
      <c r="D122" s="245">
        <f t="shared" si="5"/>
        <v>84000</v>
      </c>
      <c r="E122" s="245">
        <f t="shared" si="5"/>
        <v>88200</v>
      </c>
    </row>
    <row r="123" spans="1:5" ht="15.65" x14ac:dyDescent="0.3">
      <c r="A123" s="243">
        <v>2210303</v>
      </c>
      <c r="B123" s="244" t="s">
        <v>32</v>
      </c>
      <c r="C123" s="245">
        <v>100000</v>
      </c>
      <c r="D123" s="245">
        <f t="shared" si="5"/>
        <v>105000</v>
      </c>
      <c r="E123" s="245">
        <f t="shared" si="5"/>
        <v>110250</v>
      </c>
    </row>
    <row r="124" spans="1:5" ht="15.65" x14ac:dyDescent="0.3">
      <c r="A124" s="152">
        <v>2210500</v>
      </c>
      <c r="B124" s="241" t="s">
        <v>38</v>
      </c>
      <c r="C124" s="242"/>
      <c r="D124" s="242">
        <f t="shared" si="5"/>
        <v>0</v>
      </c>
      <c r="E124" s="242">
        <f t="shared" si="5"/>
        <v>0</v>
      </c>
    </row>
    <row r="125" spans="1:5" ht="15.65" x14ac:dyDescent="0.3">
      <c r="A125" s="243">
        <v>2210503</v>
      </c>
      <c r="B125" s="244" t="s">
        <v>40</v>
      </c>
      <c r="C125" s="245">
        <v>0</v>
      </c>
      <c r="D125" s="245">
        <f t="shared" si="5"/>
        <v>0</v>
      </c>
      <c r="E125" s="245">
        <f t="shared" si="5"/>
        <v>0</v>
      </c>
    </row>
    <row r="126" spans="1:5" ht="15.65" x14ac:dyDescent="0.3">
      <c r="A126" s="152">
        <v>2210700</v>
      </c>
      <c r="B126" s="241" t="s">
        <v>45</v>
      </c>
      <c r="C126" s="242">
        <f>C127+C128+C129</f>
        <v>0</v>
      </c>
      <c r="D126" s="242">
        <f t="shared" si="5"/>
        <v>0</v>
      </c>
      <c r="E126" s="242">
        <f t="shared" si="5"/>
        <v>0</v>
      </c>
    </row>
    <row r="127" spans="1:5" ht="15.65" x14ac:dyDescent="0.3">
      <c r="A127" s="243">
        <v>2210704</v>
      </c>
      <c r="B127" s="244" t="s">
        <v>398</v>
      </c>
      <c r="C127" s="245"/>
      <c r="D127" s="245">
        <f t="shared" si="5"/>
        <v>0</v>
      </c>
      <c r="E127" s="245">
        <f t="shared" si="5"/>
        <v>0</v>
      </c>
    </row>
    <row r="128" spans="1:5" ht="15.65" x14ac:dyDescent="0.3">
      <c r="A128" s="243">
        <v>2210705</v>
      </c>
      <c r="B128" s="244" t="s">
        <v>46</v>
      </c>
      <c r="C128" s="245"/>
      <c r="D128" s="245">
        <f t="shared" si="5"/>
        <v>0</v>
      </c>
      <c r="E128" s="245">
        <f t="shared" si="5"/>
        <v>0</v>
      </c>
    </row>
    <row r="129" spans="1:5" ht="15.65" x14ac:dyDescent="0.3">
      <c r="A129" s="243">
        <v>2210711</v>
      </c>
      <c r="B129" s="244" t="s">
        <v>47</v>
      </c>
      <c r="C129" s="245">
        <v>0</v>
      </c>
      <c r="D129" s="245">
        <f t="shared" si="5"/>
        <v>0</v>
      </c>
      <c r="E129" s="245">
        <f t="shared" si="5"/>
        <v>0</v>
      </c>
    </row>
    <row r="130" spans="1:5" ht="15.65" x14ac:dyDescent="0.3">
      <c r="A130" s="152">
        <v>2210800</v>
      </c>
      <c r="B130" s="241" t="s">
        <v>48</v>
      </c>
      <c r="C130" s="242">
        <f>C131</f>
        <v>1000000</v>
      </c>
      <c r="D130" s="242">
        <f t="shared" si="5"/>
        <v>1050000</v>
      </c>
      <c r="E130" s="242">
        <f t="shared" si="5"/>
        <v>1102500</v>
      </c>
    </row>
    <row r="131" spans="1:5" ht="15.65" x14ac:dyDescent="0.3">
      <c r="A131" s="243">
        <v>2210802</v>
      </c>
      <c r="B131" s="244" t="s">
        <v>50</v>
      </c>
      <c r="C131" s="246">
        <v>1000000</v>
      </c>
      <c r="D131" s="245">
        <f t="shared" si="5"/>
        <v>1050000</v>
      </c>
      <c r="E131" s="245">
        <f t="shared" si="5"/>
        <v>1102500</v>
      </c>
    </row>
    <row r="132" spans="1:5" ht="15.65" x14ac:dyDescent="0.3">
      <c r="A132" s="152">
        <v>2210900</v>
      </c>
      <c r="B132" s="241" t="s">
        <v>470</v>
      </c>
      <c r="C132" s="242">
        <f>C133</f>
        <v>880000</v>
      </c>
      <c r="D132" s="242">
        <f t="shared" si="5"/>
        <v>924000</v>
      </c>
      <c r="E132" s="242">
        <f t="shared" si="5"/>
        <v>970200</v>
      </c>
    </row>
    <row r="133" spans="1:5" ht="15.65" x14ac:dyDescent="0.3">
      <c r="A133" s="243">
        <v>2210903</v>
      </c>
      <c r="B133" s="244" t="s">
        <v>167</v>
      </c>
      <c r="C133" s="246">
        <v>880000</v>
      </c>
      <c r="D133" s="245">
        <f t="shared" si="5"/>
        <v>924000</v>
      </c>
      <c r="E133" s="245">
        <f t="shared" si="5"/>
        <v>970200</v>
      </c>
    </row>
    <row r="134" spans="1:5" ht="15.65" x14ac:dyDescent="0.3">
      <c r="A134" s="243">
        <v>2210904</v>
      </c>
      <c r="B134" s="244" t="s">
        <v>66</v>
      </c>
      <c r="C134" s="245">
        <v>0</v>
      </c>
      <c r="D134" s="245">
        <f t="shared" si="5"/>
        <v>0</v>
      </c>
      <c r="E134" s="245">
        <f t="shared" si="5"/>
        <v>0</v>
      </c>
    </row>
    <row r="135" spans="1:5" ht="15.65" x14ac:dyDescent="0.3">
      <c r="A135" s="152">
        <v>2211000</v>
      </c>
      <c r="B135" s="241" t="s">
        <v>51</v>
      </c>
      <c r="C135" s="242">
        <f>C136</f>
        <v>500000</v>
      </c>
      <c r="D135" s="242">
        <f t="shared" si="5"/>
        <v>525000</v>
      </c>
      <c r="E135" s="242">
        <f t="shared" si="5"/>
        <v>551250</v>
      </c>
    </row>
    <row r="136" spans="1:5" ht="15.65" x14ac:dyDescent="0.3">
      <c r="A136" s="243">
        <v>2211007</v>
      </c>
      <c r="B136" s="244" t="s">
        <v>572</v>
      </c>
      <c r="C136" s="246">
        <v>500000</v>
      </c>
      <c r="D136" s="245">
        <f t="shared" si="5"/>
        <v>525000</v>
      </c>
      <c r="E136" s="245">
        <f t="shared" si="5"/>
        <v>551250</v>
      </c>
    </row>
    <row r="137" spans="1:5" ht="15.65" x14ac:dyDescent="0.3">
      <c r="A137" s="243">
        <v>2211016</v>
      </c>
      <c r="B137" s="244" t="s">
        <v>55</v>
      </c>
      <c r="C137" s="245">
        <v>0</v>
      </c>
      <c r="D137" s="245">
        <f t="shared" si="5"/>
        <v>0</v>
      </c>
      <c r="E137" s="245">
        <f t="shared" si="5"/>
        <v>0</v>
      </c>
    </row>
    <row r="138" spans="1:5" ht="15.65" x14ac:dyDescent="0.3">
      <c r="A138" s="243" t="s">
        <v>223</v>
      </c>
      <c r="B138" s="244" t="s">
        <v>224</v>
      </c>
      <c r="C138" s="245">
        <v>0</v>
      </c>
      <c r="D138" s="245">
        <f t="shared" si="5"/>
        <v>0</v>
      </c>
      <c r="E138" s="245">
        <f t="shared" si="5"/>
        <v>0</v>
      </c>
    </row>
    <row r="139" spans="1:5" ht="15.65" x14ac:dyDescent="0.3">
      <c r="A139" s="152">
        <v>2211100</v>
      </c>
      <c r="B139" s="241" t="s">
        <v>56</v>
      </c>
      <c r="C139" s="242"/>
      <c r="D139" s="242">
        <f t="shared" si="5"/>
        <v>0</v>
      </c>
      <c r="E139" s="242">
        <f t="shared" si="5"/>
        <v>0</v>
      </c>
    </row>
    <row r="140" spans="1:5" ht="15.65" x14ac:dyDescent="0.3">
      <c r="A140" s="152">
        <v>2211101</v>
      </c>
      <c r="B140" s="244" t="s">
        <v>592</v>
      </c>
      <c r="C140" s="245">
        <v>0</v>
      </c>
      <c r="D140" s="245">
        <f t="shared" si="5"/>
        <v>0</v>
      </c>
      <c r="E140" s="245">
        <f t="shared" si="5"/>
        <v>0</v>
      </c>
    </row>
    <row r="141" spans="1:5" ht="15.65" x14ac:dyDescent="0.3">
      <c r="A141" s="250" t="s">
        <v>229</v>
      </c>
      <c r="B141" s="244" t="s">
        <v>58</v>
      </c>
      <c r="C141" s="245">
        <v>0</v>
      </c>
      <c r="D141" s="245">
        <f t="shared" si="5"/>
        <v>0</v>
      </c>
      <c r="E141" s="245">
        <f t="shared" si="5"/>
        <v>0</v>
      </c>
    </row>
    <row r="142" spans="1:5" ht="15.65" x14ac:dyDescent="0.3">
      <c r="A142" s="243">
        <v>2211103</v>
      </c>
      <c r="B142" s="244" t="s">
        <v>230</v>
      </c>
      <c r="C142" s="245">
        <v>0</v>
      </c>
      <c r="D142" s="245">
        <f t="shared" si="5"/>
        <v>0</v>
      </c>
      <c r="E142" s="245">
        <f t="shared" si="5"/>
        <v>0</v>
      </c>
    </row>
    <row r="143" spans="1:5" ht="15.65" x14ac:dyDescent="0.3">
      <c r="A143" s="152">
        <v>2211200</v>
      </c>
      <c r="B143" s="241" t="s">
        <v>60</v>
      </c>
      <c r="C143" s="242">
        <f>C144</f>
        <v>800000</v>
      </c>
      <c r="D143" s="242">
        <f t="shared" si="5"/>
        <v>840000</v>
      </c>
      <c r="E143" s="242">
        <f t="shared" si="5"/>
        <v>882000</v>
      </c>
    </row>
    <row r="144" spans="1:5" ht="15.65" x14ac:dyDescent="0.3">
      <c r="A144" s="152">
        <v>2211201</v>
      </c>
      <c r="B144" s="244" t="s">
        <v>61</v>
      </c>
      <c r="C144" s="246">
        <v>800000</v>
      </c>
      <c r="D144" s="245">
        <f t="shared" si="5"/>
        <v>840000</v>
      </c>
      <c r="E144" s="245">
        <f t="shared" si="5"/>
        <v>882000</v>
      </c>
    </row>
    <row r="145" spans="1:5" ht="15.65" x14ac:dyDescent="0.3">
      <c r="A145" s="152">
        <v>2220100</v>
      </c>
      <c r="B145" s="241" t="s">
        <v>71</v>
      </c>
      <c r="C145" s="242"/>
      <c r="D145" s="242">
        <f t="shared" si="5"/>
        <v>0</v>
      </c>
      <c r="E145" s="242">
        <f t="shared" si="5"/>
        <v>0</v>
      </c>
    </row>
    <row r="146" spans="1:5" ht="15.65" x14ac:dyDescent="0.3">
      <c r="A146" s="243">
        <v>2220101</v>
      </c>
      <c r="B146" s="244" t="s">
        <v>72</v>
      </c>
      <c r="C146" s="245">
        <v>0</v>
      </c>
      <c r="D146" s="245">
        <f t="shared" si="5"/>
        <v>0</v>
      </c>
      <c r="E146" s="245">
        <f t="shared" si="5"/>
        <v>0</v>
      </c>
    </row>
    <row r="147" spans="1:5" ht="15.65" x14ac:dyDescent="0.3">
      <c r="A147" s="152">
        <v>2220200</v>
      </c>
      <c r="B147" s="241" t="s">
        <v>73</v>
      </c>
      <c r="C147" s="242">
        <f>C148</f>
        <v>750000</v>
      </c>
      <c r="D147" s="242">
        <f t="shared" si="5"/>
        <v>787500</v>
      </c>
      <c r="E147" s="242">
        <f t="shared" si="5"/>
        <v>826875</v>
      </c>
    </row>
    <row r="148" spans="1:5" ht="15.65" x14ac:dyDescent="0.3">
      <c r="A148" s="243">
        <v>2220201</v>
      </c>
      <c r="B148" s="244" t="s">
        <v>593</v>
      </c>
      <c r="C148" s="246">
        <v>750000</v>
      </c>
      <c r="D148" s="245">
        <f t="shared" si="5"/>
        <v>787500</v>
      </c>
      <c r="E148" s="245">
        <f t="shared" si="5"/>
        <v>826875</v>
      </c>
    </row>
    <row r="149" spans="1:5" ht="15.65" x14ac:dyDescent="0.3">
      <c r="A149" s="243">
        <v>2220202</v>
      </c>
      <c r="B149" s="244" t="s">
        <v>75</v>
      </c>
      <c r="C149" s="245">
        <v>0</v>
      </c>
      <c r="D149" s="245">
        <f t="shared" si="5"/>
        <v>0</v>
      </c>
      <c r="E149" s="245">
        <f t="shared" si="5"/>
        <v>0</v>
      </c>
    </row>
    <row r="150" spans="1:5" ht="15.65" x14ac:dyDescent="0.3">
      <c r="A150" s="243">
        <v>2220205</v>
      </c>
      <c r="B150" s="244" t="s">
        <v>76</v>
      </c>
      <c r="C150" s="245"/>
      <c r="D150" s="245">
        <f t="shared" si="5"/>
        <v>0</v>
      </c>
      <c r="E150" s="245">
        <f t="shared" si="5"/>
        <v>0</v>
      </c>
    </row>
    <row r="151" spans="1:5" ht="15.65" x14ac:dyDescent="0.3">
      <c r="A151" s="243">
        <v>2220210</v>
      </c>
      <c r="B151" s="244" t="s">
        <v>77</v>
      </c>
      <c r="C151" s="245"/>
      <c r="D151" s="245">
        <f t="shared" si="5"/>
        <v>0</v>
      </c>
      <c r="E151" s="245">
        <f t="shared" si="5"/>
        <v>0</v>
      </c>
    </row>
    <row r="152" spans="1:5" ht="15.65" x14ac:dyDescent="0.3">
      <c r="A152" s="152">
        <v>3111000</v>
      </c>
      <c r="B152" s="241" t="s">
        <v>83</v>
      </c>
      <c r="C152" s="242"/>
      <c r="D152" s="242">
        <f t="shared" si="5"/>
        <v>0</v>
      </c>
      <c r="E152" s="242">
        <f t="shared" si="5"/>
        <v>0</v>
      </c>
    </row>
    <row r="153" spans="1:5" ht="15.65" x14ac:dyDescent="0.3">
      <c r="A153" s="243">
        <v>3111001</v>
      </c>
      <c r="B153" s="244" t="s">
        <v>82</v>
      </c>
      <c r="C153" s="245">
        <v>0</v>
      </c>
      <c r="D153" s="245">
        <f t="shared" si="5"/>
        <v>0</v>
      </c>
      <c r="E153" s="245">
        <f t="shared" si="5"/>
        <v>0</v>
      </c>
    </row>
    <row r="154" spans="1:5" ht="15.65" x14ac:dyDescent="0.3">
      <c r="A154" s="251" t="s">
        <v>594</v>
      </c>
      <c r="B154" s="244" t="s">
        <v>84</v>
      </c>
      <c r="C154" s="245"/>
      <c r="D154" s="245">
        <f t="shared" si="5"/>
        <v>0</v>
      </c>
      <c r="E154" s="245">
        <f t="shared" si="5"/>
        <v>0</v>
      </c>
    </row>
    <row r="155" spans="1:5" ht="15.65" x14ac:dyDescent="0.3">
      <c r="A155" s="152">
        <v>3111400</v>
      </c>
      <c r="B155" s="254" t="s">
        <v>478</v>
      </c>
      <c r="C155" s="242">
        <f>C156</f>
        <v>0</v>
      </c>
      <c r="D155" s="242">
        <f t="shared" si="5"/>
        <v>0</v>
      </c>
      <c r="E155" s="242">
        <f t="shared" si="5"/>
        <v>0</v>
      </c>
    </row>
    <row r="156" spans="1:5" ht="15.65" x14ac:dyDescent="0.3">
      <c r="A156" s="243">
        <v>3111401</v>
      </c>
      <c r="B156" s="249" t="s">
        <v>478</v>
      </c>
      <c r="C156" s="246">
        <v>0</v>
      </c>
      <c r="D156" s="245">
        <f t="shared" si="5"/>
        <v>0</v>
      </c>
      <c r="E156" s="245">
        <f t="shared" si="5"/>
        <v>0</v>
      </c>
    </row>
    <row r="157" spans="1:5" ht="15.65" x14ac:dyDescent="0.3">
      <c r="A157" s="243"/>
      <c r="B157" s="241" t="s">
        <v>595</v>
      </c>
      <c r="C157" s="242">
        <f>C155+C152+C147+C143+C139+C135+C132+C130+C126+C124+C121+C117+C114</f>
        <v>4619600</v>
      </c>
      <c r="D157" s="242">
        <f t="shared" si="5"/>
        <v>4850580</v>
      </c>
      <c r="E157" s="242">
        <f t="shared" si="5"/>
        <v>5093109</v>
      </c>
    </row>
    <row r="158" spans="1:5" s="253" customFormat="1" ht="15.65" x14ac:dyDescent="0.3">
      <c r="A158" s="152"/>
      <c r="B158" s="241" t="s">
        <v>596</v>
      </c>
      <c r="C158" s="242">
        <f>C157+C111+C107</f>
        <v>197069394.744876</v>
      </c>
      <c r="D158" s="242">
        <f t="shared" si="5"/>
        <v>206922864.4821198</v>
      </c>
      <c r="E158" s="242">
        <f t="shared" si="5"/>
        <v>217269007.70622581</v>
      </c>
    </row>
    <row r="159" spans="1:5" s="253" customFormat="1" ht="15.65" x14ac:dyDescent="0.3">
      <c r="A159" s="152"/>
      <c r="B159" s="241" t="s">
        <v>597</v>
      </c>
      <c r="C159" s="242">
        <f>C106</f>
        <v>526802652.0248</v>
      </c>
      <c r="D159" s="242">
        <f t="shared" si="5"/>
        <v>553142784.62603998</v>
      </c>
      <c r="E159" s="242">
        <f t="shared" si="5"/>
        <v>580799923.857342</v>
      </c>
    </row>
    <row r="160" spans="1:5" s="253" customFormat="1" ht="15.65" x14ac:dyDescent="0.3">
      <c r="A160" s="257"/>
      <c r="B160" s="241" t="s">
        <v>96</v>
      </c>
      <c r="C160" s="242">
        <f>C158+C159</f>
        <v>723872046.76967597</v>
      </c>
      <c r="D160" s="242">
        <f t="shared" si="5"/>
        <v>760065649.10815978</v>
      </c>
      <c r="E160" s="242">
        <f t="shared" si="5"/>
        <v>798068931.56356776</v>
      </c>
    </row>
    <row r="161" spans="1:5" ht="15.65" x14ac:dyDescent="0.3">
      <c r="A161" s="89"/>
      <c r="B161" s="146"/>
      <c r="C161" s="245"/>
      <c r="D161" s="245">
        <f t="shared" si="5"/>
        <v>0</v>
      </c>
      <c r="E161" s="245">
        <f t="shared" si="5"/>
        <v>0</v>
      </c>
    </row>
    <row r="162" spans="1:5" ht="15.65" x14ac:dyDescent="0.3">
      <c r="A162" s="89"/>
      <c r="B162" s="241" t="s">
        <v>598</v>
      </c>
      <c r="C162" s="245"/>
      <c r="D162" s="245">
        <f t="shared" si="5"/>
        <v>0</v>
      </c>
      <c r="E162" s="245">
        <f t="shared" si="5"/>
        <v>0</v>
      </c>
    </row>
    <row r="163" spans="1:5" ht="15.65" x14ac:dyDescent="0.3">
      <c r="A163" s="237" t="s">
        <v>0</v>
      </c>
      <c r="B163" s="238" t="s">
        <v>566</v>
      </c>
      <c r="C163" s="258"/>
      <c r="D163" s="258">
        <f t="shared" si="5"/>
        <v>0</v>
      </c>
      <c r="E163" s="258">
        <f t="shared" si="5"/>
        <v>0</v>
      </c>
    </row>
    <row r="164" spans="1:5" ht="15.65" x14ac:dyDescent="0.3">
      <c r="A164" s="152">
        <v>2110100</v>
      </c>
      <c r="B164" s="241" t="s">
        <v>311</v>
      </c>
      <c r="C164" s="242">
        <f>C165</f>
        <v>18318758.495807301</v>
      </c>
      <c r="D164" s="242">
        <f t="shared" si="5"/>
        <v>19234696.420597669</v>
      </c>
      <c r="E164" s="242">
        <f t="shared" si="5"/>
        <v>20196431.241627552</v>
      </c>
    </row>
    <row r="165" spans="1:5" ht="15.65" x14ac:dyDescent="0.3">
      <c r="A165" s="243">
        <v>2110101</v>
      </c>
      <c r="B165" s="244" t="s">
        <v>2</v>
      </c>
      <c r="C165" s="245">
        <v>18318758.495807301</v>
      </c>
      <c r="D165" s="245">
        <f t="shared" si="5"/>
        <v>19234696.420597669</v>
      </c>
      <c r="E165" s="245">
        <f t="shared" si="5"/>
        <v>20196431.241627552</v>
      </c>
    </row>
    <row r="166" spans="1:5" ht="15.65" x14ac:dyDescent="0.3">
      <c r="A166" s="152">
        <v>2110200</v>
      </c>
      <c r="B166" s="241" t="s">
        <v>455</v>
      </c>
      <c r="C166" s="242">
        <f>C167</f>
        <v>0</v>
      </c>
      <c r="D166" s="242">
        <f t="shared" si="5"/>
        <v>0</v>
      </c>
      <c r="E166" s="242">
        <f t="shared" si="5"/>
        <v>0</v>
      </c>
    </row>
    <row r="167" spans="1:5" ht="15.65" x14ac:dyDescent="0.3">
      <c r="A167" s="243">
        <v>2110202</v>
      </c>
      <c r="B167" s="244" t="s">
        <v>456</v>
      </c>
      <c r="C167" s="245">
        <v>0</v>
      </c>
      <c r="D167" s="245">
        <f t="shared" si="5"/>
        <v>0</v>
      </c>
      <c r="E167" s="245">
        <f t="shared" si="5"/>
        <v>0</v>
      </c>
    </row>
    <row r="168" spans="1:5" ht="15.65" x14ac:dyDescent="0.3">
      <c r="A168" s="152">
        <v>2110300</v>
      </c>
      <c r="B168" s="241" t="s">
        <v>9</v>
      </c>
      <c r="C168" s="242"/>
      <c r="D168" s="242">
        <f t="shared" si="5"/>
        <v>0</v>
      </c>
      <c r="E168" s="242">
        <f t="shared" si="5"/>
        <v>0</v>
      </c>
    </row>
    <row r="169" spans="1:5" ht="15.65" x14ac:dyDescent="0.3">
      <c r="A169" s="243">
        <v>2110301</v>
      </c>
      <c r="B169" s="244" t="s">
        <v>10</v>
      </c>
      <c r="C169" s="245"/>
      <c r="D169" s="245">
        <f t="shared" si="5"/>
        <v>0</v>
      </c>
      <c r="E169" s="245">
        <f t="shared" si="5"/>
        <v>0</v>
      </c>
    </row>
    <row r="170" spans="1:5" ht="15.65" x14ac:dyDescent="0.3">
      <c r="A170" s="243">
        <v>2110308</v>
      </c>
      <c r="B170" s="244" t="s">
        <v>11</v>
      </c>
      <c r="C170" s="245"/>
      <c r="D170" s="245">
        <f t="shared" si="5"/>
        <v>0</v>
      </c>
      <c r="E170" s="245">
        <f t="shared" si="5"/>
        <v>0</v>
      </c>
    </row>
    <row r="171" spans="1:5" ht="15.65" x14ac:dyDescent="0.3">
      <c r="A171" s="243">
        <v>2110309</v>
      </c>
      <c r="B171" s="244" t="s">
        <v>12</v>
      </c>
      <c r="C171" s="245"/>
      <c r="D171" s="245">
        <f t="shared" si="5"/>
        <v>0</v>
      </c>
      <c r="E171" s="245">
        <f t="shared" si="5"/>
        <v>0</v>
      </c>
    </row>
    <row r="172" spans="1:5" ht="15.65" x14ac:dyDescent="0.3">
      <c r="A172" s="243">
        <v>2110311</v>
      </c>
      <c r="B172" s="244" t="s">
        <v>599</v>
      </c>
      <c r="C172" s="245"/>
      <c r="D172" s="245">
        <f t="shared" ref="D172:E235" si="6">C172*1.05</f>
        <v>0</v>
      </c>
      <c r="E172" s="245">
        <f t="shared" si="6"/>
        <v>0</v>
      </c>
    </row>
    <row r="173" spans="1:5" ht="15.65" x14ac:dyDescent="0.3">
      <c r="A173" s="243">
        <v>2110312</v>
      </c>
      <c r="B173" s="244" t="s">
        <v>600</v>
      </c>
      <c r="C173" s="245"/>
      <c r="D173" s="245">
        <f t="shared" si="6"/>
        <v>0</v>
      </c>
      <c r="E173" s="245">
        <f t="shared" si="6"/>
        <v>0</v>
      </c>
    </row>
    <row r="174" spans="1:5" ht="15.65" x14ac:dyDescent="0.3">
      <c r="A174" s="243">
        <v>2110314</v>
      </c>
      <c r="B174" s="244" t="s">
        <v>562</v>
      </c>
      <c r="C174" s="245"/>
      <c r="D174" s="245">
        <f t="shared" si="6"/>
        <v>0</v>
      </c>
      <c r="E174" s="245">
        <f t="shared" si="6"/>
        <v>0</v>
      </c>
    </row>
    <row r="175" spans="1:5" ht="15.65" x14ac:dyDescent="0.3">
      <c r="A175" s="243">
        <v>2110315</v>
      </c>
      <c r="B175" s="244" t="s">
        <v>601</v>
      </c>
      <c r="C175" s="245"/>
      <c r="D175" s="245">
        <f t="shared" si="6"/>
        <v>0</v>
      </c>
      <c r="E175" s="245">
        <f t="shared" si="6"/>
        <v>0</v>
      </c>
    </row>
    <row r="176" spans="1:5" ht="15.65" x14ac:dyDescent="0.3">
      <c r="A176" s="243">
        <v>2110317</v>
      </c>
      <c r="B176" s="244" t="s">
        <v>602</v>
      </c>
      <c r="C176" s="245"/>
      <c r="D176" s="245">
        <f t="shared" si="6"/>
        <v>0</v>
      </c>
      <c r="E176" s="245">
        <f t="shared" si="6"/>
        <v>0</v>
      </c>
    </row>
    <row r="177" spans="1:5" ht="15.65" x14ac:dyDescent="0.3">
      <c r="A177" s="243">
        <v>2110318</v>
      </c>
      <c r="B177" s="244" t="s">
        <v>603</v>
      </c>
      <c r="C177" s="245"/>
      <c r="D177" s="245">
        <f t="shared" si="6"/>
        <v>0</v>
      </c>
      <c r="E177" s="245">
        <f t="shared" si="6"/>
        <v>0</v>
      </c>
    </row>
    <row r="178" spans="1:5" ht="15.65" x14ac:dyDescent="0.3">
      <c r="A178" s="243">
        <v>2110320</v>
      </c>
      <c r="B178" s="244" t="s">
        <v>293</v>
      </c>
      <c r="C178" s="245"/>
      <c r="D178" s="245">
        <f t="shared" si="6"/>
        <v>0</v>
      </c>
      <c r="E178" s="245">
        <f t="shared" si="6"/>
        <v>0</v>
      </c>
    </row>
    <row r="179" spans="1:5" ht="15.65" x14ac:dyDescent="0.3">
      <c r="A179" s="243">
        <v>2110321</v>
      </c>
      <c r="B179" s="244" t="s">
        <v>604</v>
      </c>
      <c r="C179" s="245"/>
      <c r="D179" s="245">
        <f t="shared" si="6"/>
        <v>0</v>
      </c>
      <c r="E179" s="245">
        <f t="shared" si="6"/>
        <v>0</v>
      </c>
    </row>
    <row r="180" spans="1:5" ht="15.65" x14ac:dyDescent="0.3">
      <c r="A180" s="152">
        <v>2110400</v>
      </c>
      <c r="B180" s="241" t="s">
        <v>13</v>
      </c>
      <c r="C180" s="242"/>
      <c r="D180" s="242">
        <f t="shared" si="6"/>
        <v>0</v>
      </c>
      <c r="E180" s="242">
        <f t="shared" si="6"/>
        <v>0</v>
      </c>
    </row>
    <row r="181" spans="1:5" ht="15.65" x14ac:dyDescent="0.3">
      <c r="A181" s="243">
        <v>2110402</v>
      </c>
      <c r="B181" s="244" t="s">
        <v>14</v>
      </c>
      <c r="C181" s="245"/>
      <c r="D181" s="245">
        <f t="shared" si="6"/>
        <v>0</v>
      </c>
      <c r="E181" s="245">
        <f t="shared" si="6"/>
        <v>0</v>
      </c>
    </row>
    <row r="182" spans="1:5" ht="15.65" x14ac:dyDescent="0.3">
      <c r="A182" s="243">
        <v>2110403</v>
      </c>
      <c r="B182" s="244" t="s">
        <v>15</v>
      </c>
      <c r="C182" s="245"/>
      <c r="D182" s="245">
        <f t="shared" si="6"/>
        <v>0</v>
      </c>
      <c r="E182" s="245">
        <f t="shared" si="6"/>
        <v>0</v>
      </c>
    </row>
    <row r="183" spans="1:5" ht="15.65" x14ac:dyDescent="0.3">
      <c r="A183" s="243">
        <v>2110404</v>
      </c>
      <c r="B183" s="244" t="s">
        <v>16</v>
      </c>
      <c r="C183" s="245"/>
      <c r="D183" s="245">
        <f t="shared" si="6"/>
        <v>0</v>
      </c>
      <c r="E183" s="245">
        <f t="shared" si="6"/>
        <v>0</v>
      </c>
    </row>
    <row r="184" spans="1:5" ht="15.65" x14ac:dyDescent="0.3">
      <c r="A184" s="152">
        <v>2210100</v>
      </c>
      <c r="B184" s="241" t="s">
        <v>23</v>
      </c>
      <c r="C184" s="242">
        <f>C185+C186</f>
        <v>400000</v>
      </c>
      <c r="D184" s="242">
        <f t="shared" si="6"/>
        <v>420000</v>
      </c>
      <c r="E184" s="242">
        <f t="shared" si="6"/>
        <v>441000</v>
      </c>
    </row>
    <row r="185" spans="1:5" ht="15.65" x14ac:dyDescent="0.3">
      <c r="A185" s="243">
        <v>2210101</v>
      </c>
      <c r="B185" s="244" t="s">
        <v>24</v>
      </c>
      <c r="C185" s="246">
        <v>240000</v>
      </c>
      <c r="D185" s="245">
        <f t="shared" si="6"/>
        <v>252000</v>
      </c>
      <c r="E185" s="245">
        <f t="shared" si="6"/>
        <v>264600</v>
      </c>
    </row>
    <row r="186" spans="1:5" ht="15.65" x14ac:dyDescent="0.3">
      <c r="A186" s="243">
        <v>2210102</v>
      </c>
      <c r="B186" s="244" t="s">
        <v>25</v>
      </c>
      <c r="C186" s="246">
        <v>160000</v>
      </c>
      <c r="D186" s="245">
        <f t="shared" si="6"/>
        <v>168000</v>
      </c>
      <c r="E186" s="245">
        <f t="shared" si="6"/>
        <v>176400</v>
      </c>
    </row>
    <row r="187" spans="1:5" ht="15.65" x14ac:dyDescent="0.3">
      <c r="A187" s="152">
        <v>2210200</v>
      </c>
      <c r="B187" s="241" t="s">
        <v>26</v>
      </c>
      <c r="C187" s="242">
        <f>C188+C189+C190</f>
        <v>512000</v>
      </c>
      <c r="D187" s="242">
        <f t="shared" si="6"/>
        <v>537600</v>
      </c>
      <c r="E187" s="242">
        <f t="shared" si="6"/>
        <v>564480</v>
      </c>
    </row>
    <row r="188" spans="1:5" ht="15.65" x14ac:dyDescent="0.3">
      <c r="A188" s="243">
        <v>2210201</v>
      </c>
      <c r="B188" s="67" t="s">
        <v>27</v>
      </c>
      <c r="C188" s="246">
        <v>240000</v>
      </c>
      <c r="D188" s="245">
        <f t="shared" si="6"/>
        <v>252000</v>
      </c>
      <c r="E188" s="245">
        <f t="shared" si="6"/>
        <v>264600</v>
      </c>
    </row>
    <row r="189" spans="1:5" ht="15.65" x14ac:dyDescent="0.3">
      <c r="A189" s="243">
        <v>2210202</v>
      </c>
      <c r="B189" s="244" t="s">
        <v>457</v>
      </c>
      <c r="C189" s="246">
        <v>224000</v>
      </c>
      <c r="D189" s="245">
        <f t="shared" si="6"/>
        <v>235200</v>
      </c>
      <c r="E189" s="245">
        <f t="shared" si="6"/>
        <v>246960</v>
      </c>
    </row>
    <row r="190" spans="1:5" ht="15.65" x14ac:dyDescent="0.3">
      <c r="A190" s="243">
        <v>2210203</v>
      </c>
      <c r="B190" s="244" t="s">
        <v>29</v>
      </c>
      <c r="C190" s="246">
        <v>48000</v>
      </c>
      <c r="D190" s="245">
        <f t="shared" si="6"/>
        <v>50400</v>
      </c>
      <c r="E190" s="245">
        <f t="shared" si="6"/>
        <v>52920</v>
      </c>
    </row>
    <row r="191" spans="1:5" ht="15.65" x14ac:dyDescent="0.3">
      <c r="A191" s="152">
        <v>2210300</v>
      </c>
      <c r="B191" s="241" t="s">
        <v>30</v>
      </c>
      <c r="C191" s="242">
        <f>C192+C193+C194+C195</f>
        <v>950000</v>
      </c>
      <c r="D191" s="242">
        <f t="shared" si="6"/>
        <v>997500</v>
      </c>
      <c r="E191" s="242">
        <f t="shared" si="6"/>
        <v>1047375</v>
      </c>
    </row>
    <row r="192" spans="1:5" ht="15.65" x14ac:dyDescent="0.3">
      <c r="A192" s="243">
        <v>2210301</v>
      </c>
      <c r="B192" s="244" t="s">
        <v>331</v>
      </c>
      <c r="C192" s="246">
        <v>350000</v>
      </c>
      <c r="D192" s="245">
        <f t="shared" si="6"/>
        <v>367500</v>
      </c>
      <c r="E192" s="245">
        <f t="shared" si="6"/>
        <v>385875</v>
      </c>
    </row>
    <row r="193" spans="1:5" ht="15.65" x14ac:dyDescent="0.3">
      <c r="A193" s="243">
        <v>2210302</v>
      </c>
      <c r="B193" s="244" t="s">
        <v>666</v>
      </c>
      <c r="C193" s="246">
        <v>250000</v>
      </c>
      <c r="D193" s="245">
        <f t="shared" si="6"/>
        <v>262500</v>
      </c>
      <c r="E193" s="245">
        <f t="shared" si="6"/>
        <v>275625</v>
      </c>
    </row>
    <row r="194" spans="1:5" ht="15.65" x14ac:dyDescent="0.3">
      <c r="A194" s="243">
        <v>2210303</v>
      </c>
      <c r="B194" s="244" t="s">
        <v>32</v>
      </c>
      <c r="C194" s="246">
        <v>200000</v>
      </c>
      <c r="D194" s="245">
        <f t="shared" si="6"/>
        <v>210000</v>
      </c>
      <c r="E194" s="245">
        <f t="shared" si="6"/>
        <v>220500</v>
      </c>
    </row>
    <row r="195" spans="1:5" ht="15.65" x14ac:dyDescent="0.3">
      <c r="A195" s="110">
        <v>2210309</v>
      </c>
      <c r="B195" s="248" t="s">
        <v>116</v>
      </c>
      <c r="C195" s="246">
        <v>150000</v>
      </c>
      <c r="D195" s="245">
        <f t="shared" si="6"/>
        <v>157500</v>
      </c>
      <c r="E195" s="245">
        <f t="shared" si="6"/>
        <v>165375</v>
      </c>
    </row>
    <row r="196" spans="1:5" ht="15.65" x14ac:dyDescent="0.3">
      <c r="A196" s="152">
        <v>2210400</v>
      </c>
      <c r="B196" s="241" t="s">
        <v>462</v>
      </c>
      <c r="C196" s="242">
        <f>C197+C198+C199</f>
        <v>0</v>
      </c>
      <c r="D196" s="242">
        <f t="shared" si="6"/>
        <v>0</v>
      </c>
      <c r="E196" s="242">
        <f t="shared" si="6"/>
        <v>0</v>
      </c>
    </row>
    <row r="197" spans="1:5" ht="15.65" x14ac:dyDescent="0.3">
      <c r="A197" s="243">
        <v>2210401</v>
      </c>
      <c r="B197" s="244" t="s">
        <v>463</v>
      </c>
      <c r="C197" s="245">
        <v>0</v>
      </c>
      <c r="D197" s="245">
        <f t="shared" si="6"/>
        <v>0</v>
      </c>
      <c r="E197" s="245">
        <f t="shared" si="6"/>
        <v>0</v>
      </c>
    </row>
    <row r="198" spans="1:5" ht="15.65" x14ac:dyDescent="0.3">
      <c r="A198" s="243">
        <v>2210402</v>
      </c>
      <c r="B198" s="244" t="s">
        <v>568</v>
      </c>
      <c r="C198" s="245">
        <v>0</v>
      </c>
      <c r="D198" s="245">
        <f t="shared" si="6"/>
        <v>0</v>
      </c>
      <c r="E198" s="245">
        <f t="shared" si="6"/>
        <v>0</v>
      </c>
    </row>
    <row r="199" spans="1:5" ht="15.65" x14ac:dyDescent="0.3">
      <c r="A199" s="243">
        <v>2210403</v>
      </c>
      <c r="B199" s="244" t="s">
        <v>465</v>
      </c>
      <c r="C199" s="245"/>
      <c r="D199" s="245">
        <f t="shared" si="6"/>
        <v>0</v>
      </c>
      <c r="E199" s="245">
        <f t="shared" si="6"/>
        <v>0</v>
      </c>
    </row>
    <row r="200" spans="1:5" ht="15.65" x14ac:dyDescent="0.3">
      <c r="A200" s="152">
        <v>2210500</v>
      </c>
      <c r="B200" s="241" t="s">
        <v>38</v>
      </c>
      <c r="C200" s="242">
        <f>C201+C202+C203+C204</f>
        <v>186400</v>
      </c>
      <c r="D200" s="242">
        <f t="shared" si="6"/>
        <v>195720</v>
      </c>
      <c r="E200" s="242">
        <f t="shared" si="6"/>
        <v>205506</v>
      </c>
    </row>
    <row r="201" spans="1:5" ht="15.65" x14ac:dyDescent="0.3">
      <c r="A201" s="243">
        <v>2210502</v>
      </c>
      <c r="B201" s="249" t="s">
        <v>201</v>
      </c>
      <c r="C201" s="246">
        <v>60000</v>
      </c>
      <c r="D201" s="245">
        <f t="shared" si="6"/>
        <v>63000</v>
      </c>
      <c r="E201" s="245">
        <f t="shared" si="6"/>
        <v>66150</v>
      </c>
    </row>
    <row r="202" spans="1:5" ht="15.65" x14ac:dyDescent="0.3">
      <c r="A202" s="243">
        <v>2210503</v>
      </c>
      <c r="B202" s="249" t="s">
        <v>123</v>
      </c>
      <c r="C202" s="246">
        <v>0</v>
      </c>
      <c r="D202" s="245">
        <f t="shared" si="6"/>
        <v>0</v>
      </c>
      <c r="E202" s="245">
        <f t="shared" si="6"/>
        <v>0</v>
      </c>
    </row>
    <row r="203" spans="1:5" ht="15.65" x14ac:dyDescent="0.3">
      <c r="A203" s="243">
        <v>2210504</v>
      </c>
      <c r="B203" s="249" t="s">
        <v>125</v>
      </c>
      <c r="C203" s="246">
        <v>126400</v>
      </c>
      <c r="D203" s="245">
        <f t="shared" si="6"/>
        <v>132720</v>
      </c>
      <c r="E203" s="245">
        <f t="shared" si="6"/>
        <v>139356</v>
      </c>
    </row>
    <row r="204" spans="1:5" ht="15.65" x14ac:dyDescent="0.3">
      <c r="A204" s="243">
        <v>2210505</v>
      </c>
      <c r="B204" s="249" t="s">
        <v>41</v>
      </c>
      <c r="C204" s="245">
        <v>0</v>
      </c>
      <c r="D204" s="245">
        <f t="shared" si="6"/>
        <v>0</v>
      </c>
      <c r="E204" s="245">
        <f t="shared" si="6"/>
        <v>0</v>
      </c>
    </row>
    <row r="205" spans="1:5" ht="15.65" x14ac:dyDescent="0.3">
      <c r="A205" s="152">
        <v>2210600</v>
      </c>
      <c r="B205" s="241" t="s">
        <v>42</v>
      </c>
      <c r="C205" s="242">
        <f>C206+C207</f>
        <v>96000</v>
      </c>
      <c r="D205" s="242">
        <f t="shared" si="6"/>
        <v>100800</v>
      </c>
      <c r="E205" s="242">
        <f t="shared" si="6"/>
        <v>105840</v>
      </c>
    </row>
    <row r="206" spans="1:5" ht="15.65" x14ac:dyDescent="0.3">
      <c r="A206" s="243">
        <v>2210603</v>
      </c>
      <c r="B206" s="244" t="s">
        <v>43</v>
      </c>
      <c r="C206" s="246">
        <v>96000</v>
      </c>
      <c r="D206" s="245">
        <f t="shared" si="6"/>
        <v>100800</v>
      </c>
      <c r="E206" s="245">
        <f t="shared" si="6"/>
        <v>105840</v>
      </c>
    </row>
    <row r="207" spans="1:5" ht="15.65" x14ac:dyDescent="0.3">
      <c r="A207" s="243">
        <v>2210604</v>
      </c>
      <c r="B207" s="244" t="s">
        <v>44</v>
      </c>
      <c r="C207" s="245"/>
      <c r="D207" s="245">
        <f t="shared" si="6"/>
        <v>0</v>
      </c>
      <c r="E207" s="245">
        <f t="shared" si="6"/>
        <v>0</v>
      </c>
    </row>
    <row r="208" spans="1:5" ht="15.65" x14ac:dyDescent="0.3">
      <c r="A208" s="152">
        <v>2210700</v>
      </c>
      <c r="B208" s="241" t="s">
        <v>45</v>
      </c>
      <c r="C208" s="242">
        <f>C209+C210+C211+C213+C212+C214+C215</f>
        <v>292000</v>
      </c>
      <c r="D208" s="242">
        <f t="shared" si="6"/>
        <v>306600</v>
      </c>
      <c r="E208" s="242">
        <f t="shared" si="6"/>
        <v>321930</v>
      </c>
    </row>
    <row r="209" spans="1:5" ht="15.65" x14ac:dyDescent="0.3">
      <c r="A209" s="243" t="s">
        <v>466</v>
      </c>
      <c r="B209" s="244" t="s">
        <v>164</v>
      </c>
      <c r="C209" s="246">
        <v>96000</v>
      </c>
      <c r="D209" s="245">
        <f t="shared" si="6"/>
        <v>100800</v>
      </c>
      <c r="E209" s="245">
        <f t="shared" si="6"/>
        <v>105840</v>
      </c>
    </row>
    <row r="210" spans="1:5" ht="15.65" x14ac:dyDescent="0.3">
      <c r="A210" s="243" t="s">
        <v>412</v>
      </c>
      <c r="B210" s="244" t="s">
        <v>398</v>
      </c>
      <c r="C210" s="246">
        <v>64000</v>
      </c>
      <c r="D210" s="245">
        <f t="shared" si="6"/>
        <v>67200</v>
      </c>
      <c r="E210" s="245">
        <f t="shared" si="6"/>
        <v>70560</v>
      </c>
    </row>
    <row r="211" spans="1:5" ht="15.65" x14ac:dyDescent="0.3">
      <c r="A211" s="243">
        <v>2210705</v>
      </c>
      <c r="B211" s="244" t="s">
        <v>46</v>
      </c>
      <c r="C211" s="245">
        <v>0</v>
      </c>
      <c r="D211" s="245">
        <f t="shared" si="6"/>
        <v>0</v>
      </c>
      <c r="E211" s="245">
        <f t="shared" si="6"/>
        <v>0</v>
      </c>
    </row>
    <row r="212" spans="1:5" ht="15.65" x14ac:dyDescent="0.3">
      <c r="A212" s="243" t="s">
        <v>569</v>
      </c>
      <c r="B212" s="244" t="s">
        <v>570</v>
      </c>
      <c r="C212" s="245">
        <v>0</v>
      </c>
      <c r="D212" s="245">
        <f t="shared" si="6"/>
        <v>0</v>
      </c>
      <c r="E212" s="245">
        <f t="shared" si="6"/>
        <v>0</v>
      </c>
    </row>
    <row r="213" spans="1:5" ht="15.65" x14ac:dyDescent="0.3">
      <c r="A213" s="243" t="s">
        <v>332</v>
      </c>
      <c r="B213" s="244" t="s">
        <v>333</v>
      </c>
      <c r="C213" s="246">
        <v>0</v>
      </c>
      <c r="D213" s="245">
        <f t="shared" si="6"/>
        <v>0</v>
      </c>
      <c r="E213" s="245">
        <f t="shared" si="6"/>
        <v>0</v>
      </c>
    </row>
    <row r="214" spans="1:5" ht="15.65" x14ac:dyDescent="0.3">
      <c r="A214" s="243">
        <v>2210710</v>
      </c>
      <c r="B214" s="244" t="s">
        <v>411</v>
      </c>
      <c r="C214" s="246">
        <v>132000</v>
      </c>
      <c r="D214" s="245">
        <f t="shared" si="6"/>
        <v>138600</v>
      </c>
      <c r="E214" s="245">
        <f t="shared" si="6"/>
        <v>145530</v>
      </c>
    </row>
    <row r="215" spans="1:5" ht="15.65" x14ac:dyDescent="0.3">
      <c r="A215" s="243">
        <v>2210711</v>
      </c>
      <c r="B215" s="244" t="s">
        <v>47</v>
      </c>
      <c r="C215" s="246">
        <v>0</v>
      </c>
      <c r="D215" s="245">
        <f t="shared" si="6"/>
        <v>0</v>
      </c>
      <c r="E215" s="245">
        <f t="shared" si="6"/>
        <v>0</v>
      </c>
    </row>
    <row r="216" spans="1:5" ht="15.65" x14ac:dyDescent="0.3">
      <c r="A216" s="152">
        <v>2210800</v>
      </c>
      <c r="B216" s="241" t="s">
        <v>48</v>
      </c>
      <c r="C216" s="242">
        <f>C217+C218</f>
        <v>270000</v>
      </c>
      <c r="D216" s="242">
        <f t="shared" si="6"/>
        <v>283500</v>
      </c>
      <c r="E216" s="242">
        <f t="shared" si="6"/>
        <v>297675</v>
      </c>
    </row>
    <row r="217" spans="1:5" ht="15.65" x14ac:dyDescent="0.3">
      <c r="A217" s="243">
        <v>2210801</v>
      </c>
      <c r="B217" s="244" t="s">
        <v>468</v>
      </c>
      <c r="C217" s="246">
        <v>120000</v>
      </c>
      <c r="D217" s="245">
        <f t="shared" si="6"/>
        <v>126000</v>
      </c>
      <c r="E217" s="245">
        <f t="shared" si="6"/>
        <v>132300</v>
      </c>
    </row>
    <row r="218" spans="1:5" ht="15.65" x14ac:dyDescent="0.3">
      <c r="A218" s="243">
        <v>2210802</v>
      </c>
      <c r="B218" s="244" t="s">
        <v>207</v>
      </c>
      <c r="C218" s="246">
        <v>150000</v>
      </c>
      <c r="D218" s="245">
        <f t="shared" si="6"/>
        <v>157500</v>
      </c>
      <c r="E218" s="245">
        <f t="shared" si="6"/>
        <v>165375</v>
      </c>
    </row>
    <row r="219" spans="1:5" ht="15.65" x14ac:dyDescent="0.3">
      <c r="A219" s="152">
        <v>2210900</v>
      </c>
      <c r="B219" s="241" t="s">
        <v>470</v>
      </c>
      <c r="C219" s="252">
        <v>560000</v>
      </c>
      <c r="D219" s="242">
        <f t="shared" si="6"/>
        <v>588000</v>
      </c>
      <c r="E219" s="242">
        <f t="shared" si="6"/>
        <v>617400</v>
      </c>
    </row>
    <row r="220" spans="1:5" ht="15.65" x14ac:dyDescent="0.3">
      <c r="A220" s="243">
        <v>2210904</v>
      </c>
      <c r="B220" s="244" t="s">
        <v>66</v>
      </c>
      <c r="C220" s="246">
        <v>130000</v>
      </c>
      <c r="D220" s="245">
        <f t="shared" si="6"/>
        <v>136500</v>
      </c>
      <c r="E220" s="245">
        <f t="shared" si="6"/>
        <v>143325</v>
      </c>
    </row>
    <row r="221" spans="1:5" ht="15.65" x14ac:dyDescent="0.3">
      <c r="A221" s="243">
        <v>2210910</v>
      </c>
      <c r="B221" s="244" t="s">
        <v>402</v>
      </c>
      <c r="C221" s="245">
        <v>0</v>
      </c>
      <c r="D221" s="245">
        <f t="shared" si="6"/>
        <v>0</v>
      </c>
      <c r="E221" s="245">
        <f t="shared" si="6"/>
        <v>0</v>
      </c>
    </row>
    <row r="222" spans="1:5" ht="15.65" x14ac:dyDescent="0.3">
      <c r="A222" s="152">
        <v>2211000</v>
      </c>
      <c r="B222" s="241" t="s">
        <v>51</v>
      </c>
      <c r="C222" s="242">
        <f>C223+C224+C225+C226+C227+C228+C229</f>
        <v>0</v>
      </c>
      <c r="D222" s="242">
        <f t="shared" si="6"/>
        <v>0</v>
      </c>
      <c r="E222" s="242">
        <f t="shared" si="6"/>
        <v>0</v>
      </c>
    </row>
    <row r="223" spans="1:5" ht="15.65" x14ac:dyDescent="0.3">
      <c r="A223" s="243">
        <v>2211003</v>
      </c>
      <c r="B223" s="244" t="s">
        <v>571</v>
      </c>
      <c r="C223" s="245">
        <v>0</v>
      </c>
      <c r="D223" s="245">
        <f t="shared" si="6"/>
        <v>0</v>
      </c>
      <c r="E223" s="245">
        <f t="shared" si="6"/>
        <v>0</v>
      </c>
    </row>
    <row r="224" spans="1:5" ht="15.65" x14ac:dyDescent="0.3">
      <c r="A224" s="243">
        <v>2211007</v>
      </c>
      <c r="B224" s="244" t="s">
        <v>572</v>
      </c>
      <c r="C224" s="245">
        <v>0</v>
      </c>
      <c r="D224" s="245">
        <f t="shared" si="6"/>
        <v>0</v>
      </c>
      <c r="E224" s="245">
        <f t="shared" si="6"/>
        <v>0</v>
      </c>
    </row>
    <row r="225" spans="1:5" ht="15.65" x14ac:dyDescent="0.3">
      <c r="A225" s="243">
        <v>2211008</v>
      </c>
      <c r="B225" s="244" t="s">
        <v>573</v>
      </c>
      <c r="C225" s="245">
        <v>0</v>
      </c>
      <c r="D225" s="245">
        <f t="shared" si="6"/>
        <v>0</v>
      </c>
      <c r="E225" s="245">
        <f t="shared" si="6"/>
        <v>0</v>
      </c>
    </row>
    <row r="226" spans="1:5" ht="15.65" x14ac:dyDescent="0.3">
      <c r="A226" s="243">
        <v>2211009</v>
      </c>
      <c r="B226" s="244" t="s">
        <v>52</v>
      </c>
      <c r="C226" s="245">
        <v>0</v>
      </c>
      <c r="D226" s="245">
        <f t="shared" si="6"/>
        <v>0</v>
      </c>
      <c r="E226" s="245">
        <f t="shared" si="6"/>
        <v>0</v>
      </c>
    </row>
    <row r="227" spans="1:5" ht="15.65" x14ac:dyDescent="0.3">
      <c r="A227" s="243">
        <v>2211016</v>
      </c>
      <c r="B227" s="244" t="s">
        <v>55</v>
      </c>
      <c r="C227" s="246">
        <v>0</v>
      </c>
      <c r="D227" s="245">
        <f t="shared" si="6"/>
        <v>0</v>
      </c>
      <c r="E227" s="245">
        <f t="shared" si="6"/>
        <v>0</v>
      </c>
    </row>
    <row r="228" spans="1:5" ht="15.65" x14ac:dyDescent="0.3">
      <c r="A228" s="243" t="s">
        <v>223</v>
      </c>
      <c r="B228" s="244" t="s">
        <v>224</v>
      </c>
      <c r="C228" s="245">
        <v>0</v>
      </c>
      <c r="D228" s="245">
        <f t="shared" si="6"/>
        <v>0</v>
      </c>
      <c r="E228" s="245">
        <f t="shared" si="6"/>
        <v>0</v>
      </c>
    </row>
    <row r="229" spans="1:5" ht="15.65" x14ac:dyDescent="0.3">
      <c r="A229" s="243">
        <v>2211023</v>
      </c>
      <c r="B229" s="244" t="s">
        <v>574</v>
      </c>
      <c r="C229" s="245">
        <v>0</v>
      </c>
      <c r="D229" s="245">
        <f t="shared" si="6"/>
        <v>0</v>
      </c>
      <c r="E229" s="245">
        <f t="shared" si="6"/>
        <v>0</v>
      </c>
    </row>
    <row r="230" spans="1:5" ht="15.65" x14ac:dyDescent="0.3">
      <c r="A230" s="152">
        <v>2211100</v>
      </c>
      <c r="B230" s="241" t="s">
        <v>56</v>
      </c>
      <c r="C230" s="242">
        <f>C231+C232+C233</f>
        <v>215000</v>
      </c>
      <c r="D230" s="242">
        <f t="shared" si="6"/>
        <v>225750</v>
      </c>
      <c r="E230" s="242">
        <f t="shared" si="6"/>
        <v>237037.5</v>
      </c>
    </row>
    <row r="231" spans="1:5" ht="15.65" x14ac:dyDescent="0.3">
      <c r="A231" s="243">
        <v>2211101</v>
      </c>
      <c r="B231" s="244" t="s">
        <v>228</v>
      </c>
      <c r="C231" s="246">
        <v>100000</v>
      </c>
      <c r="D231" s="245">
        <f t="shared" si="6"/>
        <v>105000</v>
      </c>
      <c r="E231" s="245">
        <f t="shared" si="6"/>
        <v>110250</v>
      </c>
    </row>
    <row r="232" spans="1:5" ht="15.65" x14ac:dyDescent="0.3">
      <c r="A232" s="250" t="s">
        <v>229</v>
      </c>
      <c r="B232" s="244" t="s">
        <v>58</v>
      </c>
      <c r="C232" s="246">
        <v>70000</v>
      </c>
      <c r="D232" s="245">
        <f t="shared" si="6"/>
        <v>73500</v>
      </c>
      <c r="E232" s="245">
        <f t="shared" si="6"/>
        <v>77175</v>
      </c>
    </row>
    <row r="233" spans="1:5" ht="15.65" x14ac:dyDescent="0.3">
      <c r="A233" s="243">
        <v>2211103</v>
      </c>
      <c r="B233" s="244" t="s">
        <v>230</v>
      </c>
      <c r="C233" s="246">
        <v>45000</v>
      </c>
      <c r="D233" s="245">
        <f t="shared" si="6"/>
        <v>47250</v>
      </c>
      <c r="E233" s="245">
        <f t="shared" si="6"/>
        <v>49612.5</v>
      </c>
    </row>
    <row r="234" spans="1:5" ht="15.65" x14ac:dyDescent="0.3">
      <c r="A234" s="152">
        <v>2211200</v>
      </c>
      <c r="B234" s="241" t="s">
        <v>60</v>
      </c>
      <c r="C234" s="242">
        <f>C235</f>
        <v>240000</v>
      </c>
      <c r="D234" s="242">
        <f t="shared" si="6"/>
        <v>252000</v>
      </c>
      <c r="E234" s="242">
        <f t="shared" si="6"/>
        <v>264600</v>
      </c>
    </row>
    <row r="235" spans="1:5" ht="15.65" x14ac:dyDescent="0.3">
      <c r="A235" s="243">
        <v>2211201</v>
      </c>
      <c r="B235" s="244" t="s">
        <v>61</v>
      </c>
      <c r="C235" s="246">
        <v>240000</v>
      </c>
      <c r="D235" s="245">
        <f t="shared" si="6"/>
        <v>252000</v>
      </c>
      <c r="E235" s="245">
        <f t="shared" si="6"/>
        <v>264600</v>
      </c>
    </row>
    <row r="236" spans="1:5" ht="15.65" x14ac:dyDescent="0.3">
      <c r="A236" s="152">
        <v>2211300</v>
      </c>
      <c r="B236" s="241" t="s">
        <v>62</v>
      </c>
      <c r="C236" s="242">
        <f>C237+C238+C239+C240+C241+C242</f>
        <v>396000</v>
      </c>
      <c r="D236" s="242">
        <f t="shared" ref="D236:E301" si="7">C236*1.05</f>
        <v>415800</v>
      </c>
      <c r="E236" s="242">
        <f t="shared" si="7"/>
        <v>436590</v>
      </c>
    </row>
    <row r="237" spans="1:5" ht="15.65" x14ac:dyDescent="0.3">
      <c r="A237" s="243">
        <v>2211301</v>
      </c>
      <c r="B237" s="244" t="s">
        <v>63</v>
      </c>
      <c r="C237" s="245">
        <v>0</v>
      </c>
      <c r="D237" s="245">
        <f t="shared" si="7"/>
        <v>0</v>
      </c>
      <c r="E237" s="245">
        <f t="shared" si="7"/>
        <v>0</v>
      </c>
    </row>
    <row r="238" spans="1:5" ht="15.65" x14ac:dyDescent="0.3">
      <c r="A238" s="243">
        <v>2211305</v>
      </c>
      <c r="B238" s="244" t="s">
        <v>575</v>
      </c>
      <c r="C238" s="245">
        <v>0</v>
      </c>
      <c r="D238" s="245">
        <f t="shared" si="7"/>
        <v>0</v>
      </c>
      <c r="E238" s="245">
        <f t="shared" si="7"/>
        <v>0</v>
      </c>
    </row>
    <row r="239" spans="1:5" ht="15.65" x14ac:dyDescent="0.3">
      <c r="A239" s="243">
        <v>2211306</v>
      </c>
      <c r="B239" s="244" t="s">
        <v>65</v>
      </c>
      <c r="C239" s="259">
        <v>136000</v>
      </c>
      <c r="D239" s="245">
        <f t="shared" si="7"/>
        <v>142800</v>
      </c>
      <c r="E239" s="245">
        <f t="shared" si="7"/>
        <v>149940</v>
      </c>
    </row>
    <row r="240" spans="1:5" ht="15.65" x14ac:dyDescent="0.3">
      <c r="A240" s="251" t="s">
        <v>419</v>
      </c>
      <c r="B240" s="244" t="s">
        <v>471</v>
      </c>
      <c r="C240" s="246">
        <v>0</v>
      </c>
      <c r="D240" s="245">
        <f t="shared" si="7"/>
        <v>0</v>
      </c>
      <c r="E240" s="245">
        <f t="shared" si="7"/>
        <v>0</v>
      </c>
    </row>
    <row r="241" spans="1:5" ht="15.65" x14ac:dyDescent="0.3">
      <c r="A241" s="243">
        <v>2211308</v>
      </c>
      <c r="B241" s="244" t="s">
        <v>69</v>
      </c>
      <c r="C241" s="246">
        <v>0</v>
      </c>
      <c r="D241" s="245">
        <f t="shared" si="7"/>
        <v>0</v>
      </c>
      <c r="E241" s="245">
        <f t="shared" si="7"/>
        <v>0</v>
      </c>
    </row>
    <row r="242" spans="1:5" ht="15.65" x14ac:dyDescent="0.3">
      <c r="A242" s="250" t="s">
        <v>473</v>
      </c>
      <c r="B242" s="244" t="s">
        <v>474</v>
      </c>
      <c r="C242" s="246">
        <v>260000</v>
      </c>
      <c r="D242" s="245">
        <f t="shared" si="7"/>
        <v>273000</v>
      </c>
      <c r="E242" s="245">
        <f t="shared" si="7"/>
        <v>286650</v>
      </c>
    </row>
    <row r="243" spans="1:5" ht="15.65" x14ac:dyDescent="0.3">
      <c r="A243" s="152">
        <v>2220100</v>
      </c>
      <c r="B243" s="241" t="s">
        <v>71</v>
      </c>
      <c r="C243" s="242">
        <f>C244</f>
        <v>300000</v>
      </c>
      <c r="D243" s="242">
        <f t="shared" si="7"/>
        <v>315000</v>
      </c>
      <c r="E243" s="242">
        <f t="shared" si="7"/>
        <v>330750</v>
      </c>
    </row>
    <row r="244" spans="1:5" ht="15.65" x14ac:dyDescent="0.3">
      <c r="A244" s="243">
        <v>2220101</v>
      </c>
      <c r="B244" s="244" t="s">
        <v>72</v>
      </c>
      <c r="C244" s="246">
        <v>300000</v>
      </c>
      <c r="D244" s="245">
        <f t="shared" si="7"/>
        <v>315000</v>
      </c>
      <c r="E244" s="245">
        <f t="shared" si="7"/>
        <v>330750</v>
      </c>
    </row>
    <row r="245" spans="1:5" ht="15.65" x14ac:dyDescent="0.3">
      <c r="A245" s="152">
        <v>2220200</v>
      </c>
      <c r="B245" s="241" t="s">
        <v>73</v>
      </c>
      <c r="C245" s="242">
        <f>C246+C247+C248+C249</f>
        <v>138000</v>
      </c>
      <c r="D245" s="242">
        <f t="shared" si="7"/>
        <v>144900</v>
      </c>
      <c r="E245" s="242">
        <f t="shared" si="7"/>
        <v>152145</v>
      </c>
    </row>
    <row r="246" spans="1:5" ht="15.65" x14ac:dyDescent="0.3">
      <c r="A246" s="243">
        <v>2220201</v>
      </c>
      <c r="B246" s="244" t="s">
        <v>605</v>
      </c>
      <c r="C246" s="245">
        <v>0</v>
      </c>
      <c r="D246" s="245">
        <f t="shared" si="7"/>
        <v>0</v>
      </c>
      <c r="E246" s="245">
        <f t="shared" si="7"/>
        <v>0</v>
      </c>
    </row>
    <row r="247" spans="1:5" ht="15.65" x14ac:dyDescent="0.3">
      <c r="A247" s="243">
        <v>2220202</v>
      </c>
      <c r="B247" s="244" t="s">
        <v>75</v>
      </c>
      <c r="C247" s="245">
        <v>0</v>
      </c>
      <c r="D247" s="245">
        <f t="shared" si="7"/>
        <v>0</v>
      </c>
      <c r="E247" s="245">
        <f t="shared" si="7"/>
        <v>0</v>
      </c>
    </row>
    <row r="248" spans="1:5" ht="15.65" x14ac:dyDescent="0.3">
      <c r="A248" s="243">
        <v>2220205</v>
      </c>
      <c r="B248" s="244" t="s">
        <v>76</v>
      </c>
      <c r="C248" s="246">
        <v>42000</v>
      </c>
      <c r="D248" s="245">
        <f t="shared" si="7"/>
        <v>44100</v>
      </c>
      <c r="E248" s="245">
        <f t="shared" si="7"/>
        <v>46305</v>
      </c>
    </row>
    <row r="249" spans="1:5" ht="15.65" x14ac:dyDescent="0.3">
      <c r="A249" s="243">
        <v>2220210</v>
      </c>
      <c r="B249" s="244" t="s">
        <v>577</v>
      </c>
      <c r="C249" s="246">
        <v>96000</v>
      </c>
      <c r="D249" s="245">
        <f t="shared" si="7"/>
        <v>100800</v>
      </c>
      <c r="E249" s="245">
        <f t="shared" si="7"/>
        <v>105840</v>
      </c>
    </row>
    <row r="250" spans="1:5" ht="15.65" x14ac:dyDescent="0.3">
      <c r="A250" s="152">
        <v>2710100</v>
      </c>
      <c r="B250" s="241" t="s">
        <v>78</v>
      </c>
      <c r="C250" s="242">
        <f>C251+C252</f>
        <v>0</v>
      </c>
      <c r="D250" s="242">
        <f t="shared" si="7"/>
        <v>0</v>
      </c>
      <c r="E250" s="242">
        <f t="shared" si="7"/>
        <v>0</v>
      </c>
    </row>
    <row r="251" spans="1:5" ht="15.65" x14ac:dyDescent="0.3">
      <c r="A251" s="243">
        <v>2710102</v>
      </c>
      <c r="B251" s="244" t="s">
        <v>79</v>
      </c>
      <c r="C251" s="245"/>
      <c r="D251" s="245">
        <f t="shared" si="7"/>
        <v>0</v>
      </c>
      <c r="E251" s="245">
        <f t="shared" si="7"/>
        <v>0</v>
      </c>
    </row>
    <row r="252" spans="1:5" ht="15.65" x14ac:dyDescent="0.3">
      <c r="A252" s="243">
        <v>2710107</v>
      </c>
      <c r="B252" s="244" t="s">
        <v>476</v>
      </c>
      <c r="C252" s="245"/>
      <c r="D252" s="245">
        <f t="shared" si="7"/>
        <v>0</v>
      </c>
      <c r="E252" s="245">
        <f t="shared" si="7"/>
        <v>0</v>
      </c>
    </row>
    <row r="253" spans="1:5" ht="15.65" x14ac:dyDescent="0.3">
      <c r="A253" s="152">
        <v>3110900</v>
      </c>
      <c r="B253" s="241" t="s">
        <v>81</v>
      </c>
      <c r="C253" s="242">
        <f>C254</f>
        <v>0</v>
      </c>
      <c r="D253" s="242">
        <f t="shared" si="7"/>
        <v>0</v>
      </c>
      <c r="E253" s="242">
        <f t="shared" si="7"/>
        <v>0</v>
      </c>
    </row>
    <row r="254" spans="1:5" ht="15.65" x14ac:dyDescent="0.3">
      <c r="A254" s="243">
        <v>3110901</v>
      </c>
      <c r="B254" s="244" t="s">
        <v>477</v>
      </c>
      <c r="C254" s="245"/>
      <c r="D254" s="245">
        <f t="shared" si="7"/>
        <v>0</v>
      </c>
      <c r="E254" s="245">
        <f t="shared" si="7"/>
        <v>0</v>
      </c>
    </row>
    <row r="255" spans="1:5" ht="15.65" x14ac:dyDescent="0.3">
      <c r="A255" s="152">
        <v>3111000</v>
      </c>
      <c r="B255" s="241" t="s">
        <v>82</v>
      </c>
      <c r="C255" s="242">
        <f>C256+C257</f>
        <v>0</v>
      </c>
      <c r="D255" s="242">
        <f t="shared" si="7"/>
        <v>0</v>
      </c>
      <c r="E255" s="242">
        <f t="shared" si="7"/>
        <v>0</v>
      </c>
    </row>
    <row r="256" spans="1:5" ht="15.65" x14ac:dyDescent="0.3">
      <c r="A256" s="243">
        <v>3111001</v>
      </c>
      <c r="B256" s="244" t="s">
        <v>83</v>
      </c>
      <c r="C256" s="246">
        <v>0</v>
      </c>
      <c r="D256" s="245">
        <f t="shared" si="7"/>
        <v>0</v>
      </c>
      <c r="E256" s="245">
        <f t="shared" si="7"/>
        <v>0</v>
      </c>
    </row>
    <row r="257" spans="1:5" ht="15.65" x14ac:dyDescent="0.3">
      <c r="A257" s="243">
        <v>3111002</v>
      </c>
      <c r="B257" s="244" t="s">
        <v>84</v>
      </c>
      <c r="C257" s="246">
        <v>0</v>
      </c>
      <c r="D257" s="245">
        <f t="shared" si="7"/>
        <v>0</v>
      </c>
      <c r="E257" s="245">
        <f t="shared" si="7"/>
        <v>0</v>
      </c>
    </row>
    <row r="258" spans="1:5" s="253" customFormat="1" ht="15.65" x14ac:dyDescent="0.3">
      <c r="A258" s="152">
        <v>3111400</v>
      </c>
      <c r="B258" s="241" t="s">
        <v>478</v>
      </c>
      <c r="C258" s="242">
        <f>C259</f>
        <v>0</v>
      </c>
      <c r="D258" s="242">
        <f t="shared" si="7"/>
        <v>0</v>
      </c>
      <c r="E258" s="242">
        <f t="shared" si="7"/>
        <v>0</v>
      </c>
    </row>
    <row r="259" spans="1:5" ht="15.65" x14ac:dyDescent="0.3">
      <c r="A259" s="243">
        <v>3111401</v>
      </c>
      <c r="B259" s="249" t="s">
        <v>478</v>
      </c>
      <c r="C259" s="246">
        <v>0</v>
      </c>
      <c r="D259" s="245">
        <f t="shared" si="7"/>
        <v>0</v>
      </c>
      <c r="E259" s="245">
        <f t="shared" si="7"/>
        <v>0</v>
      </c>
    </row>
    <row r="260" spans="1:5" s="253" customFormat="1" ht="15.65" x14ac:dyDescent="0.3">
      <c r="A260" s="152"/>
      <c r="B260" s="241" t="s">
        <v>479</v>
      </c>
      <c r="C260" s="242">
        <f>C258+C255+C250+C253+C245+C243+C236+C234+C230+C219+C216+C208+C205+C200+C191+C187+C184+C166+C164</f>
        <v>22874158.495807301</v>
      </c>
      <c r="D260" s="242">
        <f t="shared" ref="D260:E260" si="8">D258+D255+D250+D253+D245+D243+D236+D234+D230+D219+D216+D208+D205+D200+D191+D187+D184+D164</f>
        <v>24017866.420597669</v>
      </c>
      <c r="E260" s="242">
        <f t="shared" si="8"/>
        <v>25218759.741627552</v>
      </c>
    </row>
    <row r="261" spans="1:5" ht="15.65" x14ac:dyDescent="0.3">
      <c r="A261" s="152"/>
      <c r="B261" s="241" t="s">
        <v>88</v>
      </c>
      <c r="C261" s="245"/>
      <c r="D261" s="245">
        <f t="shared" si="7"/>
        <v>0</v>
      </c>
      <c r="E261" s="245">
        <f t="shared" si="7"/>
        <v>0</v>
      </c>
    </row>
    <row r="262" spans="1:5" ht="15.65" x14ac:dyDescent="0.3">
      <c r="A262" s="243"/>
      <c r="B262" s="244" t="s">
        <v>606</v>
      </c>
      <c r="C262" s="245"/>
      <c r="D262" s="245">
        <f t="shared" si="7"/>
        <v>0</v>
      </c>
      <c r="E262" s="245">
        <f t="shared" si="7"/>
        <v>0</v>
      </c>
    </row>
    <row r="263" spans="1:5" ht="15.65" x14ac:dyDescent="0.3">
      <c r="A263" s="243"/>
      <c r="B263" s="241" t="s">
        <v>581</v>
      </c>
      <c r="C263" s="242">
        <f>C262</f>
        <v>0</v>
      </c>
      <c r="D263" s="242">
        <f t="shared" si="7"/>
        <v>0</v>
      </c>
      <c r="E263" s="242">
        <f t="shared" si="7"/>
        <v>0</v>
      </c>
    </row>
    <row r="264" spans="1:5" ht="15.65" x14ac:dyDescent="0.3">
      <c r="A264" s="243"/>
      <c r="B264" s="241" t="s">
        <v>89</v>
      </c>
      <c r="C264" s="242">
        <f>C260-C263</f>
        <v>22874158.495807301</v>
      </c>
      <c r="D264" s="242">
        <f t="shared" si="7"/>
        <v>24017866.420597669</v>
      </c>
      <c r="E264" s="242">
        <f t="shared" si="7"/>
        <v>25218759.741627552</v>
      </c>
    </row>
    <row r="265" spans="1:5" ht="15.65" x14ac:dyDescent="0.3">
      <c r="A265" s="243"/>
      <c r="B265" s="241"/>
      <c r="C265" s="245"/>
      <c r="D265" s="245">
        <f t="shared" si="7"/>
        <v>0</v>
      </c>
      <c r="E265" s="245">
        <f t="shared" si="7"/>
        <v>0</v>
      </c>
    </row>
    <row r="266" spans="1:5" ht="15.65" x14ac:dyDescent="0.3">
      <c r="A266" s="243"/>
      <c r="B266" s="241" t="s">
        <v>480</v>
      </c>
      <c r="C266" s="245"/>
      <c r="D266" s="245">
        <f t="shared" si="7"/>
        <v>0</v>
      </c>
      <c r="E266" s="245">
        <f t="shared" si="7"/>
        <v>0</v>
      </c>
    </row>
    <row r="267" spans="1:5" ht="15.65" x14ac:dyDescent="0.3">
      <c r="A267" s="251" t="s">
        <v>179</v>
      </c>
      <c r="B267" s="249" t="s">
        <v>583</v>
      </c>
      <c r="C267" s="246">
        <f>[2]Sheet2!E69+[2]Sheet2!E70+[2]Sheet2!E71+[2]Sheet2!E76+[2]Sheet2!E78+[2]Sheet2!E79+[2]Sheet2!E85+[2]Sheet2!E86</f>
        <v>45000000</v>
      </c>
      <c r="D267" s="245">
        <f t="shared" si="7"/>
        <v>47250000</v>
      </c>
      <c r="E267" s="245">
        <f t="shared" si="7"/>
        <v>49612500</v>
      </c>
    </row>
    <row r="268" spans="1:5" ht="15.65" x14ac:dyDescent="0.3">
      <c r="A268" s="243">
        <v>3111301</v>
      </c>
      <c r="B268" s="249" t="s">
        <v>582</v>
      </c>
      <c r="C268" s="245">
        <f>[2]Sheet2!E68</f>
        <v>4000000</v>
      </c>
      <c r="D268" s="245">
        <f t="shared" si="7"/>
        <v>4200000</v>
      </c>
      <c r="E268" s="245">
        <f t="shared" si="7"/>
        <v>4410000</v>
      </c>
    </row>
    <row r="269" spans="1:5" ht="15.65" x14ac:dyDescent="0.3">
      <c r="A269" s="243">
        <v>3111103</v>
      </c>
      <c r="B269" s="249" t="s">
        <v>585</v>
      </c>
      <c r="C269" s="246">
        <v>0</v>
      </c>
      <c r="D269" s="245">
        <f t="shared" si="7"/>
        <v>0</v>
      </c>
      <c r="E269" s="245">
        <f t="shared" si="7"/>
        <v>0</v>
      </c>
    </row>
    <row r="270" spans="1:5" ht="15.65" x14ac:dyDescent="0.3">
      <c r="A270" s="243">
        <v>2210309</v>
      </c>
      <c r="B270" s="249" t="s">
        <v>757</v>
      </c>
      <c r="C270" s="246">
        <v>0</v>
      </c>
      <c r="D270" s="245">
        <f t="shared" si="7"/>
        <v>0</v>
      </c>
      <c r="E270" s="245">
        <f t="shared" si="7"/>
        <v>0</v>
      </c>
    </row>
    <row r="271" spans="1:5" ht="15.65" x14ac:dyDescent="0.3">
      <c r="A271" s="243"/>
      <c r="B271" s="249" t="s">
        <v>793</v>
      </c>
      <c r="C271" s="260">
        <f>7825079/2</f>
        <v>3912539.5</v>
      </c>
      <c r="D271" s="245">
        <f t="shared" si="7"/>
        <v>4108166.4750000001</v>
      </c>
      <c r="E271" s="245">
        <f t="shared" si="7"/>
        <v>4313574.7987500001</v>
      </c>
    </row>
    <row r="272" spans="1:5" ht="15.65" x14ac:dyDescent="0.3">
      <c r="A272" s="152"/>
      <c r="B272" s="241" t="s">
        <v>160</v>
      </c>
      <c r="C272" s="242">
        <f>SUM(C267:C271)</f>
        <v>52912539.5</v>
      </c>
      <c r="D272" s="242">
        <f t="shared" si="7"/>
        <v>55558166.475000001</v>
      </c>
      <c r="E272" s="242">
        <f t="shared" si="7"/>
        <v>58336074.798750006</v>
      </c>
    </row>
    <row r="273" spans="1:6" ht="15.65" x14ac:dyDescent="0.3">
      <c r="A273" s="152"/>
      <c r="B273" s="241" t="s">
        <v>156</v>
      </c>
      <c r="C273" s="242">
        <f>C260</f>
        <v>22874158.495807301</v>
      </c>
      <c r="D273" s="242">
        <f t="shared" si="7"/>
        <v>24017866.420597669</v>
      </c>
      <c r="E273" s="242">
        <f t="shared" si="7"/>
        <v>25218759.741627552</v>
      </c>
    </row>
    <row r="274" spans="1:6" ht="15.65" x14ac:dyDescent="0.3">
      <c r="A274" s="152"/>
      <c r="B274" s="241" t="s">
        <v>587</v>
      </c>
      <c r="C274" s="242">
        <f>C273+C272</f>
        <v>75786697.995807305</v>
      </c>
      <c r="D274" s="242">
        <f t="shared" si="7"/>
        <v>79576032.895597667</v>
      </c>
      <c r="E274" s="242">
        <f t="shared" si="7"/>
        <v>83554834.540377557</v>
      </c>
    </row>
    <row r="275" spans="1:6" ht="15.65" x14ac:dyDescent="0.3">
      <c r="A275" s="243"/>
      <c r="B275" s="241" t="s">
        <v>588</v>
      </c>
      <c r="C275" s="245"/>
      <c r="D275" s="245">
        <f t="shared" si="7"/>
        <v>0</v>
      </c>
      <c r="E275" s="245">
        <f t="shared" si="7"/>
        <v>0</v>
      </c>
    </row>
    <row r="276" spans="1:6" ht="15.65" x14ac:dyDescent="0.3">
      <c r="A276" s="110">
        <v>2210310</v>
      </c>
      <c r="B276" s="248" t="s">
        <v>567</v>
      </c>
      <c r="C276" s="246">
        <v>200000</v>
      </c>
      <c r="D276" s="245">
        <f t="shared" si="7"/>
        <v>210000</v>
      </c>
      <c r="E276" s="245">
        <f t="shared" si="7"/>
        <v>220500</v>
      </c>
    </row>
    <row r="277" spans="1:6" ht="15.65" x14ac:dyDescent="0.3">
      <c r="A277" s="152"/>
      <c r="B277" s="241" t="s">
        <v>607</v>
      </c>
      <c r="C277" s="242">
        <f>C276</f>
        <v>200000</v>
      </c>
      <c r="D277" s="242">
        <f t="shared" si="7"/>
        <v>210000</v>
      </c>
      <c r="E277" s="242">
        <f t="shared" si="7"/>
        <v>220500</v>
      </c>
    </row>
    <row r="278" spans="1:6" ht="15.65" x14ac:dyDescent="0.3">
      <c r="A278" s="152"/>
      <c r="B278" s="241" t="s">
        <v>596</v>
      </c>
      <c r="C278" s="242">
        <f>C273+C277</f>
        <v>23074158.495807301</v>
      </c>
      <c r="D278" s="242">
        <f t="shared" si="7"/>
        <v>24227866.420597669</v>
      </c>
      <c r="E278" s="242">
        <f t="shared" si="7"/>
        <v>25439259.741627552</v>
      </c>
    </row>
    <row r="279" spans="1:6" ht="15.65" x14ac:dyDescent="0.3">
      <c r="A279" s="152"/>
      <c r="B279" s="241" t="s">
        <v>597</v>
      </c>
      <c r="C279" s="242">
        <f>C272</f>
        <v>52912539.5</v>
      </c>
      <c r="D279" s="242">
        <f t="shared" si="7"/>
        <v>55558166.475000001</v>
      </c>
      <c r="E279" s="242">
        <f t="shared" si="7"/>
        <v>58336074.798750006</v>
      </c>
    </row>
    <row r="280" spans="1:6" ht="15.65" x14ac:dyDescent="0.3">
      <c r="A280" s="257"/>
      <c r="B280" s="241" t="s">
        <v>96</v>
      </c>
      <c r="C280" s="261">
        <f>C279+C278</f>
        <v>75986697.995807305</v>
      </c>
      <c r="D280" s="261">
        <f t="shared" si="7"/>
        <v>79786032.895597667</v>
      </c>
      <c r="E280" s="261">
        <f t="shared" si="7"/>
        <v>83775334.540377557</v>
      </c>
    </row>
    <row r="281" spans="1:6" ht="15.65" x14ac:dyDescent="0.3">
      <c r="A281" s="152"/>
      <c r="B281" s="241"/>
      <c r="C281" s="245"/>
      <c r="D281" s="245">
        <f t="shared" si="7"/>
        <v>0</v>
      </c>
      <c r="E281" s="245">
        <f t="shared" si="7"/>
        <v>0</v>
      </c>
    </row>
    <row r="282" spans="1:6" ht="15.65" x14ac:dyDescent="0.3">
      <c r="A282" s="89"/>
      <c r="B282" s="241" t="s">
        <v>608</v>
      </c>
      <c r="C282" s="262"/>
      <c r="D282" s="262">
        <f t="shared" si="7"/>
        <v>0</v>
      </c>
      <c r="E282" s="262">
        <f t="shared" si="7"/>
        <v>0</v>
      </c>
    </row>
    <row r="283" spans="1:6" ht="15.65" x14ac:dyDescent="0.3">
      <c r="A283" s="263" t="s">
        <v>0</v>
      </c>
      <c r="B283" s="264" t="s">
        <v>566</v>
      </c>
      <c r="C283" s="265"/>
      <c r="D283" s="265">
        <f t="shared" si="7"/>
        <v>0</v>
      </c>
      <c r="E283" s="265">
        <f t="shared" si="7"/>
        <v>0</v>
      </c>
    </row>
    <row r="284" spans="1:6" ht="15.65" x14ac:dyDescent="0.3">
      <c r="A284" s="243">
        <v>2110100</v>
      </c>
      <c r="B284" s="241" t="s">
        <v>311</v>
      </c>
      <c r="C284" s="266">
        <v>133110193.959317</v>
      </c>
      <c r="D284" s="266">
        <f t="shared" si="7"/>
        <v>139765703.65728286</v>
      </c>
      <c r="E284" s="266">
        <f t="shared" si="7"/>
        <v>146753988.84014702</v>
      </c>
    </row>
    <row r="285" spans="1:6" ht="15.65" x14ac:dyDescent="0.3">
      <c r="A285" s="243">
        <v>2110101</v>
      </c>
      <c r="B285" s="244" t="s">
        <v>2</v>
      </c>
      <c r="C285" s="245">
        <v>128510193.959317</v>
      </c>
      <c r="D285" s="245">
        <f t="shared" si="7"/>
        <v>134935703.65728286</v>
      </c>
      <c r="E285" s="245">
        <f t="shared" si="7"/>
        <v>141682488.84014702</v>
      </c>
    </row>
    <row r="286" spans="1:6" ht="15.65" x14ac:dyDescent="0.3">
      <c r="A286" s="152">
        <v>2110200</v>
      </c>
      <c r="B286" s="241" t="s">
        <v>455</v>
      </c>
      <c r="C286" s="266">
        <f>C287</f>
        <v>2405127.2000000002</v>
      </c>
      <c r="D286" s="266">
        <f t="shared" si="7"/>
        <v>2525383.5600000005</v>
      </c>
      <c r="E286" s="266">
        <f t="shared" si="7"/>
        <v>2651652.7380000008</v>
      </c>
    </row>
    <row r="287" spans="1:6" ht="15.65" x14ac:dyDescent="0.3">
      <c r="A287" s="243">
        <v>2110202</v>
      </c>
      <c r="B287" s="244" t="s">
        <v>456</v>
      </c>
      <c r="C287" s="245">
        <v>2405127.2000000002</v>
      </c>
      <c r="D287" s="245">
        <f t="shared" si="7"/>
        <v>2525383.5600000005</v>
      </c>
      <c r="E287" s="245">
        <f t="shared" si="7"/>
        <v>2651652.7380000008</v>
      </c>
      <c r="F287" s="240"/>
    </row>
    <row r="288" spans="1:6" ht="15.65" x14ac:dyDescent="0.3">
      <c r="A288" s="152">
        <v>2210100</v>
      </c>
      <c r="B288" s="241" t="s">
        <v>23</v>
      </c>
      <c r="C288" s="266">
        <f>C289+C290</f>
        <v>2168000</v>
      </c>
      <c r="D288" s="266">
        <f t="shared" si="7"/>
        <v>2276400</v>
      </c>
      <c r="E288" s="266">
        <f t="shared" si="7"/>
        <v>2390220</v>
      </c>
    </row>
    <row r="289" spans="1:5" ht="15.65" x14ac:dyDescent="0.3">
      <c r="A289" s="243">
        <v>2210101</v>
      </c>
      <c r="B289" s="244" t="s">
        <v>24</v>
      </c>
      <c r="C289" s="246">
        <v>728000</v>
      </c>
      <c r="D289" s="245">
        <f t="shared" si="7"/>
        <v>764400</v>
      </c>
      <c r="E289" s="245">
        <f t="shared" si="7"/>
        <v>802620</v>
      </c>
    </row>
    <row r="290" spans="1:5" ht="15.65" x14ac:dyDescent="0.3">
      <c r="A290" s="243">
        <v>2210102</v>
      </c>
      <c r="B290" s="244" t="s">
        <v>25</v>
      </c>
      <c r="C290" s="246">
        <v>1440000</v>
      </c>
      <c r="D290" s="245">
        <f t="shared" si="7"/>
        <v>1512000</v>
      </c>
      <c r="E290" s="245">
        <f t="shared" si="7"/>
        <v>1587600</v>
      </c>
    </row>
    <row r="291" spans="1:5" ht="15.65" x14ac:dyDescent="0.3">
      <c r="A291" s="152">
        <v>2210200</v>
      </c>
      <c r="B291" s="241" t="s">
        <v>26</v>
      </c>
      <c r="C291" s="266">
        <f>C292+C293</f>
        <v>433085.6</v>
      </c>
      <c r="D291" s="266">
        <f t="shared" si="7"/>
        <v>454739.88</v>
      </c>
      <c r="E291" s="266">
        <f t="shared" si="7"/>
        <v>477476.87400000001</v>
      </c>
    </row>
    <row r="292" spans="1:5" ht="15.65" x14ac:dyDescent="0.3">
      <c r="A292" s="243">
        <v>2210201</v>
      </c>
      <c r="B292" s="67" t="s">
        <v>27</v>
      </c>
      <c r="C292" s="246">
        <v>261085.6</v>
      </c>
      <c r="D292" s="245">
        <f t="shared" si="7"/>
        <v>274139.88</v>
      </c>
      <c r="E292" s="245">
        <f t="shared" si="7"/>
        <v>287846.87400000001</v>
      </c>
    </row>
    <row r="293" spans="1:5" ht="15.65" x14ac:dyDescent="0.3">
      <c r="A293" s="243">
        <v>2210202</v>
      </c>
      <c r="B293" s="244" t="s">
        <v>457</v>
      </c>
      <c r="C293" s="246">
        <v>172000</v>
      </c>
      <c r="D293" s="245">
        <f t="shared" si="7"/>
        <v>180600</v>
      </c>
      <c r="E293" s="245">
        <f t="shared" si="7"/>
        <v>189630</v>
      </c>
    </row>
    <row r="294" spans="1:5" ht="15.65" x14ac:dyDescent="0.3">
      <c r="A294" s="152">
        <v>2210300</v>
      </c>
      <c r="B294" s="241" t="s">
        <v>30</v>
      </c>
      <c r="C294" s="266">
        <f>C295+C296+C297+C298</f>
        <v>1860000</v>
      </c>
      <c r="D294" s="266">
        <f t="shared" si="7"/>
        <v>1953000</v>
      </c>
      <c r="E294" s="266">
        <f t="shared" si="7"/>
        <v>2050650</v>
      </c>
    </row>
    <row r="295" spans="1:5" ht="15.65" x14ac:dyDescent="0.3">
      <c r="A295" s="243">
        <v>2210301</v>
      </c>
      <c r="B295" s="244" t="s">
        <v>331</v>
      </c>
      <c r="C295" s="246">
        <v>480000</v>
      </c>
      <c r="D295" s="245">
        <f t="shared" si="7"/>
        <v>504000</v>
      </c>
      <c r="E295" s="245">
        <f t="shared" si="7"/>
        <v>529200</v>
      </c>
    </row>
    <row r="296" spans="1:5" ht="15.65" x14ac:dyDescent="0.3">
      <c r="A296" s="243">
        <v>2210302</v>
      </c>
      <c r="B296" s="244" t="s">
        <v>458</v>
      </c>
      <c r="C296" s="246">
        <v>440000</v>
      </c>
      <c r="D296" s="245">
        <f t="shared" si="7"/>
        <v>462000</v>
      </c>
      <c r="E296" s="245">
        <f t="shared" si="7"/>
        <v>485100</v>
      </c>
    </row>
    <row r="297" spans="1:5" ht="15.65" x14ac:dyDescent="0.3">
      <c r="A297" s="243">
        <v>2210303</v>
      </c>
      <c r="B297" s="244" t="s">
        <v>32</v>
      </c>
      <c r="C297" s="246">
        <v>480000</v>
      </c>
      <c r="D297" s="245">
        <f t="shared" si="7"/>
        <v>504000</v>
      </c>
      <c r="E297" s="245">
        <f t="shared" si="7"/>
        <v>529200</v>
      </c>
    </row>
    <row r="298" spans="1:5" ht="15.65" x14ac:dyDescent="0.3">
      <c r="A298" s="110">
        <v>2210309</v>
      </c>
      <c r="B298" s="248" t="s">
        <v>116</v>
      </c>
      <c r="C298" s="246">
        <v>460000</v>
      </c>
      <c r="D298" s="245">
        <f t="shared" si="7"/>
        <v>483000</v>
      </c>
      <c r="E298" s="245">
        <f t="shared" si="7"/>
        <v>507150</v>
      </c>
    </row>
    <row r="299" spans="1:5" ht="15.65" x14ac:dyDescent="0.3">
      <c r="A299" s="152">
        <v>2210400</v>
      </c>
      <c r="B299" s="241" t="s">
        <v>462</v>
      </c>
      <c r="C299" s="266">
        <f>C300+C301+C302</f>
        <v>0</v>
      </c>
      <c r="D299" s="266">
        <f t="shared" si="7"/>
        <v>0</v>
      </c>
      <c r="E299" s="266">
        <f t="shared" si="7"/>
        <v>0</v>
      </c>
    </row>
    <row r="300" spans="1:5" ht="15.65" x14ac:dyDescent="0.3">
      <c r="A300" s="243">
        <v>2210401</v>
      </c>
      <c r="B300" s="244" t="s">
        <v>463</v>
      </c>
      <c r="C300" s="245"/>
      <c r="D300" s="245">
        <f t="shared" si="7"/>
        <v>0</v>
      </c>
      <c r="E300" s="245">
        <f t="shared" si="7"/>
        <v>0</v>
      </c>
    </row>
    <row r="301" spans="1:5" ht="15.65" x14ac:dyDescent="0.3">
      <c r="A301" s="243">
        <v>2210402</v>
      </c>
      <c r="B301" s="244" t="s">
        <v>568</v>
      </c>
      <c r="C301" s="245"/>
      <c r="D301" s="245">
        <f t="shared" si="7"/>
        <v>0</v>
      </c>
      <c r="E301" s="245">
        <f t="shared" si="7"/>
        <v>0</v>
      </c>
    </row>
    <row r="302" spans="1:5" ht="15.65" x14ac:dyDescent="0.3">
      <c r="A302" s="243">
        <v>2210403</v>
      </c>
      <c r="B302" s="244" t="s">
        <v>465</v>
      </c>
      <c r="C302" s="245"/>
      <c r="D302" s="245">
        <f t="shared" ref="D302:E366" si="9">C302*1.05</f>
        <v>0</v>
      </c>
      <c r="E302" s="245">
        <f t="shared" si="9"/>
        <v>0</v>
      </c>
    </row>
    <row r="303" spans="1:5" ht="15.65" x14ac:dyDescent="0.3">
      <c r="A303" s="152">
        <v>2210500</v>
      </c>
      <c r="B303" s="241" t="s">
        <v>38</v>
      </c>
      <c r="C303" s="266">
        <f>C304+C305+C306+C307</f>
        <v>420000</v>
      </c>
      <c r="D303" s="266">
        <f t="shared" si="9"/>
        <v>441000</v>
      </c>
      <c r="E303" s="266">
        <f t="shared" si="9"/>
        <v>463050</v>
      </c>
    </row>
    <row r="304" spans="1:5" ht="15.65" x14ac:dyDescent="0.3">
      <c r="A304" s="243">
        <v>2210502</v>
      </c>
      <c r="B304" s="249" t="s">
        <v>201</v>
      </c>
      <c r="C304" s="246">
        <v>40000</v>
      </c>
      <c r="D304" s="245">
        <f t="shared" si="9"/>
        <v>42000</v>
      </c>
      <c r="E304" s="245">
        <f t="shared" si="9"/>
        <v>44100</v>
      </c>
    </row>
    <row r="305" spans="1:5" ht="15.65" x14ac:dyDescent="0.3">
      <c r="A305" s="243">
        <v>2210503</v>
      </c>
      <c r="B305" s="249" t="s">
        <v>123</v>
      </c>
      <c r="C305" s="246">
        <v>0</v>
      </c>
      <c r="D305" s="245">
        <f t="shared" si="9"/>
        <v>0</v>
      </c>
      <c r="E305" s="245">
        <f t="shared" si="9"/>
        <v>0</v>
      </c>
    </row>
    <row r="306" spans="1:5" ht="15.65" x14ac:dyDescent="0.3">
      <c r="A306" s="243">
        <v>2210504</v>
      </c>
      <c r="B306" s="249" t="s">
        <v>125</v>
      </c>
      <c r="C306" s="246">
        <v>260000</v>
      </c>
      <c r="D306" s="245">
        <f t="shared" si="9"/>
        <v>273000</v>
      </c>
      <c r="E306" s="245">
        <f t="shared" si="9"/>
        <v>286650</v>
      </c>
    </row>
    <row r="307" spans="1:5" ht="15.65" x14ac:dyDescent="0.3">
      <c r="A307" s="243">
        <v>2210505</v>
      </c>
      <c r="B307" s="249" t="s">
        <v>41</v>
      </c>
      <c r="C307" s="246">
        <v>120000</v>
      </c>
      <c r="D307" s="245">
        <f t="shared" si="9"/>
        <v>126000</v>
      </c>
      <c r="E307" s="245">
        <f t="shared" si="9"/>
        <v>132300</v>
      </c>
    </row>
    <row r="308" spans="1:5" ht="15.65" x14ac:dyDescent="0.3">
      <c r="A308" s="152">
        <v>2210600</v>
      </c>
      <c r="B308" s="241" t="s">
        <v>42</v>
      </c>
      <c r="C308" s="245">
        <f>C309+C310</f>
        <v>0</v>
      </c>
      <c r="D308" s="245">
        <f t="shared" si="9"/>
        <v>0</v>
      </c>
      <c r="E308" s="245">
        <f t="shared" si="9"/>
        <v>0</v>
      </c>
    </row>
    <row r="309" spans="1:5" ht="15.65" x14ac:dyDescent="0.3">
      <c r="A309" s="243">
        <v>2210603</v>
      </c>
      <c r="B309" s="244" t="s">
        <v>43</v>
      </c>
      <c r="C309" s="245"/>
      <c r="D309" s="245">
        <f t="shared" si="9"/>
        <v>0</v>
      </c>
      <c r="E309" s="245">
        <f t="shared" si="9"/>
        <v>0</v>
      </c>
    </row>
    <row r="310" spans="1:5" ht="15.65" x14ac:dyDescent="0.3">
      <c r="A310" s="243">
        <v>2210604</v>
      </c>
      <c r="B310" s="244" t="s">
        <v>44</v>
      </c>
      <c r="C310" s="245"/>
      <c r="D310" s="245">
        <f t="shared" si="9"/>
        <v>0</v>
      </c>
      <c r="E310" s="245">
        <f t="shared" si="9"/>
        <v>0</v>
      </c>
    </row>
    <row r="311" spans="1:5" ht="15.65" x14ac:dyDescent="0.3">
      <c r="A311" s="152">
        <v>2210700</v>
      </c>
      <c r="B311" s="241" t="s">
        <v>45</v>
      </c>
      <c r="C311" s="266">
        <f>C312+C313+C314+C315+C316+C317+C318+C319</f>
        <v>300000</v>
      </c>
      <c r="D311" s="266">
        <f t="shared" si="9"/>
        <v>315000</v>
      </c>
      <c r="E311" s="266">
        <f t="shared" si="9"/>
        <v>330750</v>
      </c>
    </row>
    <row r="312" spans="1:5" ht="15.65" x14ac:dyDescent="0.3">
      <c r="A312" s="243" t="s">
        <v>466</v>
      </c>
      <c r="B312" s="244" t="s">
        <v>164</v>
      </c>
      <c r="C312" s="246">
        <v>100000</v>
      </c>
      <c r="D312" s="245">
        <f t="shared" si="9"/>
        <v>105000</v>
      </c>
      <c r="E312" s="245">
        <f t="shared" si="9"/>
        <v>110250</v>
      </c>
    </row>
    <row r="313" spans="1:5" ht="15.65" x14ac:dyDescent="0.3">
      <c r="A313" s="243" t="s">
        <v>413</v>
      </c>
      <c r="B313" s="244" t="s">
        <v>414</v>
      </c>
      <c r="C313" s="245">
        <v>0</v>
      </c>
      <c r="D313" s="245">
        <f t="shared" si="9"/>
        <v>0</v>
      </c>
      <c r="E313" s="245">
        <f t="shared" si="9"/>
        <v>0</v>
      </c>
    </row>
    <row r="314" spans="1:5" ht="15.65" x14ac:dyDescent="0.3">
      <c r="A314" s="243" t="s">
        <v>412</v>
      </c>
      <c r="B314" s="244" t="s">
        <v>398</v>
      </c>
      <c r="C314" s="245">
        <v>0</v>
      </c>
      <c r="D314" s="245">
        <f t="shared" si="9"/>
        <v>0</v>
      </c>
      <c r="E314" s="245">
        <f t="shared" si="9"/>
        <v>0</v>
      </c>
    </row>
    <row r="315" spans="1:5" ht="15.65" x14ac:dyDescent="0.3">
      <c r="A315" s="243">
        <v>2270705</v>
      </c>
      <c r="B315" s="244" t="s">
        <v>46</v>
      </c>
      <c r="C315" s="245">
        <v>0</v>
      </c>
      <c r="D315" s="245">
        <f t="shared" si="9"/>
        <v>0</v>
      </c>
      <c r="E315" s="245">
        <f t="shared" si="9"/>
        <v>0</v>
      </c>
    </row>
    <row r="316" spans="1:5" ht="15.65" x14ac:dyDescent="0.3">
      <c r="A316" s="243" t="s">
        <v>569</v>
      </c>
      <c r="B316" s="244" t="s">
        <v>570</v>
      </c>
      <c r="C316" s="246">
        <v>100000</v>
      </c>
      <c r="D316" s="245">
        <f t="shared" si="9"/>
        <v>105000</v>
      </c>
      <c r="E316" s="245">
        <f t="shared" si="9"/>
        <v>110250</v>
      </c>
    </row>
    <row r="317" spans="1:5" ht="15.65" x14ac:dyDescent="0.3">
      <c r="A317" s="243" t="s">
        <v>332</v>
      </c>
      <c r="B317" s="244" t="s">
        <v>333</v>
      </c>
      <c r="C317" s="246">
        <v>0</v>
      </c>
      <c r="D317" s="245">
        <f t="shared" si="9"/>
        <v>0</v>
      </c>
      <c r="E317" s="245">
        <f t="shared" si="9"/>
        <v>0</v>
      </c>
    </row>
    <row r="318" spans="1:5" ht="15.65" x14ac:dyDescent="0.3">
      <c r="A318" s="243">
        <v>2210710</v>
      </c>
      <c r="B318" s="244" t="s">
        <v>411</v>
      </c>
      <c r="C318" s="246">
        <v>100000</v>
      </c>
      <c r="D318" s="245">
        <f t="shared" si="9"/>
        <v>105000</v>
      </c>
      <c r="E318" s="245">
        <f t="shared" si="9"/>
        <v>110250</v>
      </c>
    </row>
    <row r="319" spans="1:5" ht="15.65" x14ac:dyDescent="0.3">
      <c r="A319" s="243">
        <v>2210711</v>
      </c>
      <c r="B319" s="244" t="s">
        <v>47</v>
      </c>
      <c r="C319" s="246">
        <v>0</v>
      </c>
      <c r="D319" s="245">
        <f t="shared" si="9"/>
        <v>0</v>
      </c>
      <c r="E319" s="245">
        <f t="shared" si="9"/>
        <v>0</v>
      </c>
    </row>
    <row r="320" spans="1:5" ht="15.65" x14ac:dyDescent="0.3">
      <c r="A320" s="152">
        <v>2210800</v>
      </c>
      <c r="B320" s="241" t="s">
        <v>48</v>
      </c>
      <c r="C320" s="266">
        <f>C321+C322</f>
        <v>740000</v>
      </c>
      <c r="D320" s="266">
        <f t="shared" si="9"/>
        <v>777000</v>
      </c>
      <c r="E320" s="266">
        <f t="shared" si="9"/>
        <v>815850</v>
      </c>
    </row>
    <row r="321" spans="1:5" ht="15.65" x14ac:dyDescent="0.3">
      <c r="A321" s="243">
        <v>2210801</v>
      </c>
      <c r="B321" s="244" t="s">
        <v>468</v>
      </c>
      <c r="C321" s="246">
        <v>140000</v>
      </c>
      <c r="D321" s="245">
        <f t="shared" si="9"/>
        <v>147000</v>
      </c>
      <c r="E321" s="245">
        <f t="shared" si="9"/>
        <v>154350</v>
      </c>
    </row>
    <row r="322" spans="1:5" ht="15.65" x14ac:dyDescent="0.3">
      <c r="A322" s="243">
        <v>2210802</v>
      </c>
      <c r="B322" s="244" t="s">
        <v>207</v>
      </c>
      <c r="C322" s="246">
        <v>600000</v>
      </c>
      <c r="D322" s="245">
        <f t="shared" si="9"/>
        <v>630000</v>
      </c>
      <c r="E322" s="245">
        <f t="shared" si="9"/>
        <v>661500</v>
      </c>
    </row>
    <row r="323" spans="1:5" ht="15.65" x14ac:dyDescent="0.3">
      <c r="A323" s="152">
        <v>2210900</v>
      </c>
      <c r="B323" s="241" t="s">
        <v>470</v>
      </c>
      <c r="C323" s="266">
        <f>C324+C325</f>
        <v>960000</v>
      </c>
      <c r="D323" s="266">
        <f t="shared" si="9"/>
        <v>1008000</v>
      </c>
      <c r="E323" s="266">
        <f t="shared" si="9"/>
        <v>1058400</v>
      </c>
    </row>
    <row r="324" spans="1:5" ht="15.65" x14ac:dyDescent="0.3">
      <c r="A324" s="243">
        <v>2210904</v>
      </c>
      <c r="B324" s="244" t="s">
        <v>66</v>
      </c>
      <c r="C324" s="246">
        <v>960000</v>
      </c>
      <c r="D324" s="245">
        <f t="shared" si="9"/>
        <v>1008000</v>
      </c>
      <c r="E324" s="245">
        <f t="shared" si="9"/>
        <v>1058400</v>
      </c>
    </row>
    <row r="325" spans="1:5" ht="15.65" x14ac:dyDescent="0.3">
      <c r="A325" s="243">
        <v>2210910</v>
      </c>
      <c r="B325" s="244" t="s">
        <v>402</v>
      </c>
      <c r="C325" s="245"/>
      <c r="D325" s="245">
        <f t="shared" si="9"/>
        <v>0</v>
      </c>
      <c r="E325" s="245">
        <f t="shared" si="9"/>
        <v>0</v>
      </c>
    </row>
    <row r="326" spans="1:5" ht="15.65" x14ac:dyDescent="0.3">
      <c r="A326" s="152">
        <v>2211000</v>
      </c>
      <c r="B326" s="241" t="s">
        <v>51</v>
      </c>
      <c r="C326" s="266">
        <f>C327+C328+C329+C330+C331+C332+C333</f>
        <v>3500000</v>
      </c>
      <c r="D326" s="266">
        <f t="shared" si="9"/>
        <v>3675000</v>
      </c>
      <c r="E326" s="266">
        <f t="shared" si="9"/>
        <v>3858750</v>
      </c>
    </row>
    <row r="327" spans="1:5" ht="15.65" x14ac:dyDescent="0.3">
      <c r="A327" s="243">
        <v>2211003</v>
      </c>
      <c r="B327" s="244" t="s">
        <v>571</v>
      </c>
      <c r="C327" s="246">
        <v>0</v>
      </c>
      <c r="D327" s="245">
        <f t="shared" si="9"/>
        <v>0</v>
      </c>
      <c r="E327" s="245">
        <f t="shared" si="9"/>
        <v>0</v>
      </c>
    </row>
    <row r="328" spans="1:5" ht="15.65" x14ac:dyDescent="0.3">
      <c r="A328" s="243">
        <v>2211007</v>
      </c>
      <c r="B328" s="244" t="s">
        <v>572</v>
      </c>
      <c r="C328" s="246">
        <v>800000</v>
      </c>
      <c r="D328" s="245">
        <f t="shared" si="9"/>
        <v>840000</v>
      </c>
      <c r="E328" s="245">
        <f t="shared" si="9"/>
        <v>882000</v>
      </c>
    </row>
    <row r="329" spans="1:5" ht="15.65" x14ac:dyDescent="0.3">
      <c r="A329" s="243">
        <v>2211008</v>
      </c>
      <c r="B329" s="244" t="s">
        <v>573</v>
      </c>
      <c r="C329" s="246">
        <v>0</v>
      </c>
      <c r="D329" s="245">
        <f t="shared" si="9"/>
        <v>0</v>
      </c>
      <c r="E329" s="245">
        <f t="shared" si="9"/>
        <v>0</v>
      </c>
    </row>
    <row r="330" spans="1:5" ht="15.65" x14ac:dyDescent="0.3">
      <c r="A330" s="243">
        <v>2211009</v>
      </c>
      <c r="B330" s="244" t="s">
        <v>52</v>
      </c>
      <c r="C330" s="246">
        <v>0</v>
      </c>
      <c r="D330" s="245">
        <f t="shared" si="9"/>
        <v>0</v>
      </c>
      <c r="E330" s="245">
        <f t="shared" si="9"/>
        <v>0</v>
      </c>
    </row>
    <row r="331" spans="1:5" ht="15.65" x14ac:dyDescent="0.3">
      <c r="A331" s="243">
        <v>2211016</v>
      </c>
      <c r="B331" s="244" t="s">
        <v>55</v>
      </c>
      <c r="C331" s="246">
        <v>0</v>
      </c>
      <c r="D331" s="245">
        <f t="shared" si="9"/>
        <v>0</v>
      </c>
      <c r="E331" s="245">
        <f t="shared" si="9"/>
        <v>0</v>
      </c>
    </row>
    <row r="332" spans="1:5" ht="15.65" x14ac:dyDescent="0.3">
      <c r="A332" s="243" t="s">
        <v>223</v>
      </c>
      <c r="B332" s="244" t="s">
        <v>224</v>
      </c>
      <c r="C332" s="246">
        <v>0</v>
      </c>
      <c r="D332" s="245">
        <f t="shared" si="9"/>
        <v>0</v>
      </c>
      <c r="E332" s="245">
        <f t="shared" si="9"/>
        <v>0</v>
      </c>
    </row>
    <row r="333" spans="1:5" ht="15.65" x14ac:dyDescent="0.3">
      <c r="A333" s="243">
        <v>2211023</v>
      </c>
      <c r="B333" s="244" t="s">
        <v>574</v>
      </c>
      <c r="C333" s="246">
        <v>2700000</v>
      </c>
      <c r="D333" s="245">
        <f t="shared" si="9"/>
        <v>2835000</v>
      </c>
      <c r="E333" s="245">
        <f t="shared" si="9"/>
        <v>2976750</v>
      </c>
    </row>
    <row r="334" spans="1:5" ht="15.65" x14ac:dyDescent="0.3">
      <c r="A334" s="152">
        <v>2211100</v>
      </c>
      <c r="B334" s="241" t="s">
        <v>56</v>
      </c>
      <c r="C334" s="266">
        <f>C335+C336+C337</f>
        <v>327760</v>
      </c>
      <c r="D334" s="266">
        <f t="shared" si="9"/>
        <v>344148</v>
      </c>
      <c r="E334" s="266">
        <f t="shared" si="9"/>
        <v>361355.4</v>
      </c>
    </row>
    <row r="335" spans="1:5" ht="15.65" x14ac:dyDescent="0.3">
      <c r="A335" s="243">
        <v>2211101</v>
      </c>
      <c r="B335" s="244" t="s">
        <v>228</v>
      </c>
      <c r="C335" s="246">
        <v>140000</v>
      </c>
      <c r="D335" s="245">
        <f t="shared" si="9"/>
        <v>147000</v>
      </c>
      <c r="E335" s="245">
        <f t="shared" si="9"/>
        <v>154350</v>
      </c>
    </row>
    <row r="336" spans="1:5" ht="15.65" x14ac:dyDescent="0.3">
      <c r="A336" s="250" t="s">
        <v>229</v>
      </c>
      <c r="B336" s="244" t="s">
        <v>58</v>
      </c>
      <c r="C336" s="246">
        <v>120000</v>
      </c>
      <c r="D336" s="245">
        <f t="shared" si="9"/>
        <v>126000</v>
      </c>
      <c r="E336" s="245">
        <f t="shared" si="9"/>
        <v>132300</v>
      </c>
    </row>
    <row r="337" spans="1:5" ht="15.65" x14ac:dyDescent="0.3">
      <c r="A337" s="243">
        <v>2211103</v>
      </c>
      <c r="B337" s="244" t="s">
        <v>230</v>
      </c>
      <c r="C337" s="246">
        <v>67760</v>
      </c>
      <c r="D337" s="245">
        <f t="shared" si="9"/>
        <v>71148</v>
      </c>
      <c r="E337" s="245">
        <f t="shared" si="9"/>
        <v>74705.400000000009</v>
      </c>
    </row>
    <row r="338" spans="1:5" ht="15.65" x14ac:dyDescent="0.3">
      <c r="A338" s="152">
        <v>2211200</v>
      </c>
      <c r="B338" s="241" t="s">
        <v>60</v>
      </c>
      <c r="C338" s="266">
        <f>C339</f>
        <v>800000</v>
      </c>
      <c r="D338" s="266">
        <f t="shared" si="9"/>
        <v>840000</v>
      </c>
      <c r="E338" s="266">
        <f t="shared" si="9"/>
        <v>882000</v>
      </c>
    </row>
    <row r="339" spans="1:5" ht="15.65" x14ac:dyDescent="0.3">
      <c r="A339" s="243">
        <v>2211201</v>
      </c>
      <c r="B339" s="244" t="s">
        <v>61</v>
      </c>
      <c r="C339" s="246">
        <v>800000</v>
      </c>
      <c r="D339" s="245">
        <f t="shared" si="9"/>
        <v>840000</v>
      </c>
      <c r="E339" s="245">
        <f t="shared" si="9"/>
        <v>882000</v>
      </c>
    </row>
    <row r="340" spans="1:5" ht="15.65" x14ac:dyDescent="0.3">
      <c r="A340" s="152">
        <v>2211300</v>
      </c>
      <c r="B340" s="241" t="s">
        <v>62</v>
      </c>
      <c r="C340" s="266">
        <f>C341+C342+C343+C344+C345</f>
        <v>1160000</v>
      </c>
      <c r="D340" s="266">
        <f t="shared" si="9"/>
        <v>1218000</v>
      </c>
      <c r="E340" s="266">
        <f t="shared" si="9"/>
        <v>1278900</v>
      </c>
    </row>
    <row r="341" spans="1:5" ht="15.65" x14ac:dyDescent="0.3">
      <c r="A341" s="243">
        <v>2211301</v>
      </c>
      <c r="B341" s="244" t="s">
        <v>63</v>
      </c>
      <c r="C341" s="245">
        <v>0</v>
      </c>
      <c r="D341" s="245">
        <f t="shared" si="9"/>
        <v>0</v>
      </c>
      <c r="E341" s="245">
        <f t="shared" si="9"/>
        <v>0</v>
      </c>
    </row>
    <row r="342" spans="1:5" ht="15.65" x14ac:dyDescent="0.3">
      <c r="A342" s="243">
        <v>2211306</v>
      </c>
      <c r="B342" s="244" t="s">
        <v>65</v>
      </c>
      <c r="C342" s="246">
        <v>160000</v>
      </c>
      <c r="D342" s="245">
        <f t="shared" si="9"/>
        <v>168000</v>
      </c>
      <c r="E342" s="245">
        <f t="shared" si="9"/>
        <v>176400</v>
      </c>
    </row>
    <row r="343" spans="1:5" ht="15.65" x14ac:dyDescent="0.3">
      <c r="A343" s="251" t="s">
        <v>419</v>
      </c>
      <c r="B343" s="244" t="s">
        <v>471</v>
      </c>
      <c r="C343" s="246">
        <v>400000</v>
      </c>
      <c r="D343" s="245">
        <f t="shared" si="9"/>
        <v>420000</v>
      </c>
      <c r="E343" s="245">
        <f t="shared" si="9"/>
        <v>441000</v>
      </c>
    </row>
    <row r="344" spans="1:5" ht="15.65" x14ac:dyDescent="0.3">
      <c r="A344" s="243">
        <v>2211308</v>
      </c>
      <c r="B344" s="244" t="s">
        <v>69</v>
      </c>
      <c r="C344" s="246">
        <v>0</v>
      </c>
      <c r="D344" s="245">
        <f t="shared" si="9"/>
        <v>0</v>
      </c>
      <c r="E344" s="245">
        <f t="shared" si="9"/>
        <v>0</v>
      </c>
    </row>
    <row r="345" spans="1:5" ht="15.65" x14ac:dyDescent="0.3">
      <c r="A345" s="250" t="s">
        <v>473</v>
      </c>
      <c r="B345" s="244" t="s">
        <v>474</v>
      </c>
      <c r="C345" s="246">
        <v>600000</v>
      </c>
      <c r="D345" s="245">
        <f t="shared" si="9"/>
        <v>630000</v>
      </c>
      <c r="E345" s="245">
        <f t="shared" si="9"/>
        <v>661500</v>
      </c>
    </row>
    <row r="346" spans="1:5" ht="15.65" x14ac:dyDescent="0.3">
      <c r="A346" s="152">
        <v>2220100</v>
      </c>
      <c r="B346" s="241" t="s">
        <v>71</v>
      </c>
      <c r="C346" s="266">
        <f>C347</f>
        <v>984000</v>
      </c>
      <c r="D346" s="266">
        <f t="shared" si="9"/>
        <v>1033200</v>
      </c>
      <c r="E346" s="266">
        <f t="shared" si="9"/>
        <v>1084860</v>
      </c>
    </row>
    <row r="347" spans="1:5" ht="15.65" x14ac:dyDescent="0.3">
      <c r="A347" s="243">
        <v>2220101</v>
      </c>
      <c r="B347" s="244" t="s">
        <v>72</v>
      </c>
      <c r="C347" s="246">
        <v>984000</v>
      </c>
      <c r="D347" s="245">
        <f t="shared" si="9"/>
        <v>1033200</v>
      </c>
      <c r="E347" s="245">
        <f t="shared" si="9"/>
        <v>1084860</v>
      </c>
    </row>
    <row r="348" spans="1:5" ht="15.65" x14ac:dyDescent="0.3">
      <c r="A348" s="152">
        <v>2220200</v>
      </c>
      <c r="B348" s="241" t="s">
        <v>73</v>
      </c>
      <c r="C348" s="266">
        <f>C349+C350+C351</f>
        <v>216000</v>
      </c>
      <c r="D348" s="266">
        <f t="shared" si="9"/>
        <v>226800</v>
      </c>
      <c r="E348" s="266">
        <f t="shared" si="9"/>
        <v>238140</v>
      </c>
    </row>
    <row r="349" spans="1:5" ht="15.65" x14ac:dyDescent="0.3">
      <c r="A349" s="243">
        <v>2220202</v>
      </c>
      <c r="B349" s="244" t="s">
        <v>75</v>
      </c>
      <c r="C349" s="245">
        <v>0</v>
      </c>
      <c r="D349" s="245">
        <f t="shared" si="9"/>
        <v>0</v>
      </c>
      <c r="E349" s="245">
        <f t="shared" si="9"/>
        <v>0</v>
      </c>
    </row>
    <row r="350" spans="1:5" ht="15.65" x14ac:dyDescent="0.3">
      <c r="A350" s="243">
        <v>2220205</v>
      </c>
      <c r="B350" s="244" t="s">
        <v>76</v>
      </c>
      <c r="C350" s="246">
        <v>120000</v>
      </c>
      <c r="D350" s="245">
        <f t="shared" si="9"/>
        <v>126000</v>
      </c>
      <c r="E350" s="245">
        <f t="shared" si="9"/>
        <v>132300</v>
      </c>
    </row>
    <row r="351" spans="1:5" ht="15.65" x14ac:dyDescent="0.3">
      <c r="A351" s="243">
        <v>2220210</v>
      </c>
      <c r="B351" s="244" t="s">
        <v>77</v>
      </c>
      <c r="C351" s="246">
        <v>96000</v>
      </c>
      <c r="D351" s="245">
        <f t="shared" si="9"/>
        <v>100800</v>
      </c>
      <c r="E351" s="245">
        <f t="shared" si="9"/>
        <v>105840</v>
      </c>
    </row>
    <row r="352" spans="1:5" ht="15.65" x14ac:dyDescent="0.3">
      <c r="A352" s="152">
        <v>2710100</v>
      </c>
      <c r="B352" s="241" t="s">
        <v>78</v>
      </c>
      <c r="C352" s="266">
        <f>C353+C354</f>
        <v>0</v>
      </c>
      <c r="D352" s="266">
        <f t="shared" si="9"/>
        <v>0</v>
      </c>
      <c r="E352" s="266">
        <f t="shared" si="9"/>
        <v>0</v>
      </c>
    </row>
    <row r="353" spans="1:5" ht="15.65" x14ac:dyDescent="0.3">
      <c r="A353" s="243">
        <v>2710102</v>
      </c>
      <c r="B353" s="244" t="s">
        <v>79</v>
      </c>
      <c r="C353" s="245">
        <v>0</v>
      </c>
      <c r="D353" s="245">
        <f t="shared" si="9"/>
        <v>0</v>
      </c>
      <c r="E353" s="245">
        <f t="shared" si="9"/>
        <v>0</v>
      </c>
    </row>
    <row r="354" spans="1:5" ht="15.65" x14ac:dyDescent="0.3">
      <c r="A354" s="243">
        <v>2710107</v>
      </c>
      <c r="B354" s="244" t="s">
        <v>476</v>
      </c>
      <c r="C354" s="245"/>
      <c r="D354" s="245">
        <f t="shared" si="9"/>
        <v>0</v>
      </c>
      <c r="E354" s="245">
        <f t="shared" si="9"/>
        <v>0</v>
      </c>
    </row>
    <row r="355" spans="1:5" ht="15.65" x14ac:dyDescent="0.3">
      <c r="A355" s="152">
        <v>3110900</v>
      </c>
      <c r="B355" s="241" t="s">
        <v>81</v>
      </c>
      <c r="C355" s="266">
        <f>C356</f>
        <v>0</v>
      </c>
      <c r="D355" s="266">
        <f t="shared" si="9"/>
        <v>0</v>
      </c>
      <c r="E355" s="266">
        <f t="shared" si="9"/>
        <v>0</v>
      </c>
    </row>
    <row r="356" spans="1:5" ht="15.65" x14ac:dyDescent="0.3">
      <c r="A356" s="243">
        <v>3110901</v>
      </c>
      <c r="B356" s="244" t="s">
        <v>477</v>
      </c>
      <c r="C356" s="245"/>
      <c r="D356" s="245">
        <f t="shared" si="9"/>
        <v>0</v>
      </c>
      <c r="E356" s="245">
        <f t="shared" si="9"/>
        <v>0</v>
      </c>
    </row>
    <row r="357" spans="1:5" ht="15.65" x14ac:dyDescent="0.3">
      <c r="A357" s="152">
        <v>3111000</v>
      </c>
      <c r="B357" s="241" t="s">
        <v>82</v>
      </c>
      <c r="C357" s="266">
        <f>C358+C359</f>
        <v>240000</v>
      </c>
      <c r="D357" s="266">
        <f t="shared" si="9"/>
        <v>252000</v>
      </c>
      <c r="E357" s="266">
        <f t="shared" si="9"/>
        <v>264600</v>
      </c>
    </row>
    <row r="358" spans="1:5" ht="15.65" x14ac:dyDescent="0.3">
      <c r="A358" s="243">
        <v>3111001</v>
      </c>
      <c r="B358" s="244" t="s">
        <v>83</v>
      </c>
      <c r="C358" s="245">
        <v>0</v>
      </c>
      <c r="D358" s="245">
        <f t="shared" si="9"/>
        <v>0</v>
      </c>
      <c r="E358" s="245">
        <f t="shared" si="9"/>
        <v>0</v>
      </c>
    </row>
    <row r="359" spans="1:5" ht="15.65" x14ac:dyDescent="0.3">
      <c r="A359" s="243">
        <v>3111002</v>
      </c>
      <c r="B359" s="244" t="s">
        <v>84</v>
      </c>
      <c r="C359" s="246">
        <v>240000</v>
      </c>
      <c r="D359" s="245">
        <f t="shared" si="9"/>
        <v>252000</v>
      </c>
      <c r="E359" s="245">
        <f t="shared" si="9"/>
        <v>264600</v>
      </c>
    </row>
    <row r="360" spans="1:5" s="253" customFormat="1" ht="15.65" x14ac:dyDescent="0.3">
      <c r="A360" s="152">
        <v>3111400</v>
      </c>
      <c r="B360" s="241" t="s">
        <v>478</v>
      </c>
      <c r="C360" s="242">
        <f>C361</f>
        <v>0</v>
      </c>
      <c r="D360" s="242">
        <f t="shared" si="9"/>
        <v>0</v>
      </c>
      <c r="E360" s="242">
        <f t="shared" si="9"/>
        <v>0</v>
      </c>
    </row>
    <row r="361" spans="1:5" ht="15.65" x14ac:dyDescent="0.3">
      <c r="A361" s="243">
        <v>3111401</v>
      </c>
      <c r="B361" s="244" t="s">
        <v>478</v>
      </c>
      <c r="C361" s="246"/>
      <c r="D361" s="245">
        <f t="shared" si="9"/>
        <v>0</v>
      </c>
      <c r="E361" s="245">
        <f t="shared" si="9"/>
        <v>0</v>
      </c>
    </row>
    <row r="362" spans="1:5" ht="15.65" x14ac:dyDescent="0.3">
      <c r="A362" s="152"/>
      <c r="B362" s="241" t="s">
        <v>609</v>
      </c>
      <c r="C362" s="266">
        <f>C360+C357+C352+C348+C346+C340+C338+C334+C326+C323+C320+C311+C303+C299+C294+C291+C288+C286+C284</f>
        <v>149624166.75931701</v>
      </c>
      <c r="D362" s="266">
        <f t="shared" ref="D362:E362" si="10">D360+D357+D352+D348+D346+D340+D338+D334+D326+D323+D320+D311+D303+D299+D294+D291+D288+D286+D284</f>
        <v>157105375.09728286</v>
      </c>
      <c r="E362" s="266">
        <f t="shared" si="10"/>
        <v>164960643.85214701</v>
      </c>
    </row>
    <row r="363" spans="1:5" ht="15.65" x14ac:dyDescent="0.3">
      <c r="A363" s="152"/>
      <c r="B363" s="241" t="s">
        <v>88</v>
      </c>
      <c r="C363" s="245"/>
      <c r="D363" s="245">
        <f t="shared" si="9"/>
        <v>0</v>
      </c>
      <c r="E363" s="245">
        <f t="shared" si="9"/>
        <v>0</v>
      </c>
    </row>
    <row r="364" spans="1:5" ht="15.65" x14ac:dyDescent="0.3">
      <c r="A364" s="243"/>
      <c r="B364" s="244" t="s">
        <v>610</v>
      </c>
      <c r="C364" s="255"/>
      <c r="D364" s="255">
        <f t="shared" si="9"/>
        <v>0</v>
      </c>
      <c r="E364" s="255">
        <f t="shared" si="9"/>
        <v>0</v>
      </c>
    </row>
    <row r="365" spans="1:5" ht="15.65" x14ac:dyDescent="0.3">
      <c r="A365" s="243"/>
      <c r="B365" s="244" t="s">
        <v>611</v>
      </c>
      <c r="C365" s="245"/>
      <c r="D365" s="245">
        <f t="shared" si="9"/>
        <v>0</v>
      </c>
      <c r="E365" s="245">
        <f t="shared" si="9"/>
        <v>0</v>
      </c>
    </row>
    <row r="366" spans="1:5" ht="15.65" x14ac:dyDescent="0.3">
      <c r="A366" s="243"/>
      <c r="B366" s="241" t="s">
        <v>581</v>
      </c>
      <c r="C366" s="242"/>
      <c r="D366" s="242">
        <f t="shared" si="9"/>
        <v>0</v>
      </c>
      <c r="E366" s="242">
        <f t="shared" si="9"/>
        <v>0</v>
      </c>
    </row>
    <row r="367" spans="1:5" ht="15.65" x14ac:dyDescent="0.3">
      <c r="A367" s="243"/>
      <c r="B367" s="241" t="s">
        <v>89</v>
      </c>
      <c r="C367" s="266">
        <f>C362-C366</f>
        <v>149624166.75931701</v>
      </c>
      <c r="D367" s="266">
        <f t="shared" ref="D367:E397" si="11">C367*1.05</f>
        <v>157105375.09728286</v>
      </c>
      <c r="E367" s="266">
        <f t="shared" si="11"/>
        <v>164960643.85214701</v>
      </c>
    </row>
    <row r="368" spans="1:5" ht="15.65" x14ac:dyDescent="0.3">
      <c r="A368" s="243"/>
      <c r="B368" s="241"/>
      <c r="C368" s="245"/>
      <c r="D368" s="245">
        <f t="shared" si="11"/>
        <v>0</v>
      </c>
      <c r="E368" s="245">
        <f t="shared" si="11"/>
        <v>0</v>
      </c>
    </row>
    <row r="369" spans="1:5" ht="15.65" x14ac:dyDescent="0.3">
      <c r="A369" s="243"/>
      <c r="B369" s="241" t="s">
        <v>480</v>
      </c>
      <c r="C369" s="245"/>
      <c r="D369" s="245">
        <f t="shared" si="11"/>
        <v>0</v>
      </c>
      <c r="E369" s="245">
        <f t="shared" si="11"/>
        <v>0</v>
      </c>
    </row>
    <row r="370" spans="1:5" ht="15.65" x14ac:dyDescent="0.3">
      <c r="A370" s="267">
        <v>2211023</v>
      </c>
      <c r="B370" s="249" t="s">
        <v>574</v>
      </c>
      <c r="C370" s="245">
        <f>[2]Sheet2!E40+[2]Sheet2!E43+[2]Sheet2!E53-4000000</f>
        <v>16250000</v>
      </c>
      <c r="D370" s="245">
        <f t="shared" si="11"/>
        <v>17062500</v>
      </c>
      <c r="E370" s="245">
        <f t="shared" si="11"/>
        <v>17915625</v>
      </c>
    </row>
    <row r="371" spans="1:5" ht="15.65" x14ac:dyDescent="0.3">
      <c r="A371" s="267">
        <v>2211003</v>
      </c>
      <c r="B371" s="249" t="s">
        <v>571</v>
      </c>
      <c r="C371" s="245">
        <f>[2]Sheet2!E55</f>
        <v>5000000</v>
      </c>
      <c r="D371" s="245">
        <f t="shared" si="11"/>
        <v>5250000</v>
      </c>
      <c r="E371" s="245">
        <f t="shared" si="11"/>
        <v>5512500</v>
      </c>
    </row>
    <row r="372" spans="1:5" s="268" customFormat="1" ht="15.65" x14ac:dyDescent="0.3">
      <c r="A372" s="267" t="s">
        <v>179</v>
      </c>
      <c r="B372" s="249" t="s">
        <v>583</v>
      </c>
      <c r="C372" s="245">
        <f>24000000-5000000</f>
        <v>19000000</v>
      </c>
      <c r="D372" s="245">
        <f t="shared" si="11"/>
        <v>19950000</v>
      </c>
      <c r="E372" s="245">
        <f t="shared" si="11"/>
        <v>20947500</v>
      </c>
    </row>
    <row r="373" spans="1:5" s="268" customFormat="1" ht="15.65" x14ac:dyDescent="0.3">
      <c r="A373" s="243">
        <v>3111301</v>
      </c>
      <c r="B373" s="249" t="s">
        <v>582</v>
      </c>
      <c r="C373" s="245">
        <v>0</v>
      </c>
      <c r="D373" s="245">
        <f t="shared" si="11"/>
        <v>0</v>
      </c>
      <c r="E373" s="245">
        <f t="shared" si="11"/>
        <v>0</v>
      </c>
    </row>
    <row r="374" spans="1:5" s="268" customFormat="1" ht="15.65" x14ac:dyDescent="0.3">
      <c r="A374" s="243">
        <v>2210309</v>
      </c>
      <c r="B374" s="249" t="s">
        <v>758</v>
      </c>
      <c r="C374" s="245">
        <v>0</v>
      </c>
      <c r="D374" s="245">
        <f t="shared" si="11"/>
        <v>0</v>
      </c>
      <c r="E374" s="245">
        <f t="shared" si="11"/>
        <v>0</v>
      </c>
    </row>
    <row r="375" spans="1:5" s="268" customFormat="1" ht="15.65" x14ac:dyDescent="0.3">
      <c r="A375" s="243"/>
      <c r="B375" s="249" t="s">
        <v>793</v>
      </c>
      <c r="C375" s="269">
        <f>13350378/2</f>
        <v>6675189</v>
      </c>
      <c r="D375" s="245">
        <f t="shared" si="11"/>
        <v>7008948.4500000002</v>
      </c>
      <c r="E375" s="245">
        <f t="shared" si="11"/>
        <v>7359395.8725000005</v>
      </c>
    </row>
    <row r="376" spans="1:5" ht="15.65" x14ac:dyDescent="0.3">
      <c r="A376" s="243">
        <v>2640503</v>
      </c>
      <c r="B376" s="244" t="s">
        <v>794</v>
      </c>
      <c r="C376" s="245">
        <v>37950000</v>
      </c>
      <c r="D376" s="245">
        <f t="shared" si="11"/>
        <v>39847500</v>
      </c>
      <c r="E376" s="245">
        <f t="shared" si="11"/>
        <v>41839875</v>
      </c>
    </row>
    <row r="377" spans="1:5" ht="15.65" x14ac:dyDescent="0.3">
      <c r="A377" s="152"/>
      <c r="B377" s="241" t="s">
        <v>160</v>
      </c>
      <c r="C377" s="266">
        <f>SUM(C370:C376)</f>
        <v>84875189</v>
      </c>
      <c r="D377" s="266">
        <f t="shared" si="11"/>
        <v>89118948.450000003</v>
      </c>
      <c r="E377" s="266">
        <f t="shared" si="11"/>
        <v>93574895.872500002</v>
      </c>
    </row>
    <row r="378" spans="1:5" ht="15.65" x14ac:dyDescent="0.3">
      <c r="A378" s="152"/>
      <c r="B378" s="241" t="s">
        <v>156</v>
      </c>
      <c r="C378" s="266">
        <f>C362</f>
        <v>149624166.75931701</v>
      </c>
      <c r="D378" s="266">
        <f t="shared" si="11"/>
        <v>157105375.09728286</v>
      </c>
      <c r="E378" s="266">
        <f t="shared" si="11"/>
        <v>164960643.85214701</v>
      </c>
    </row>
    <row r="379" spans="1:5" ht="15.65" x14ac:dyDescent="0.3">
      <c r="A379" s="152"/>
      <c r="B379" s="241" t="s">
        <v>587</v>
      </c>
      <c r="C379" s="266">
        <f>C378+C377</f>
        <v>234499355.75931701</v>
      </c>
      <c r="D379" s="266">
        <f t="shared" si="11"/>
        <v>246224323.54728287</v>
      </c>
      <c r="E379" s="266">
        <f t="shared" si="11"/>
        <v>258535539.72464702</v>
      </c>
    </row>
    <row r="380" spans="1:5" ht="15.65" x14ac:dyDescent="0.3">
      <c r="A380" s="243"/>
      <c r="B380" s="241" t="s">
        <v>612</v>
      </c>
      <c r="C380" s="245"/>
      <c r="D380" s="245">
        <f t="shared" si="11"/>
        <v>0</v>
      </c>
      <c r="E380" s="245">
        <f t="shared" si="11"/>
        <v>0</v>
      </c>
    </row>
    <row r="381" spans="1:5" ht="15.65" x14ac:dyDescent="0.3">
      <c r="A381" s="110">
        <v>2210310</v>
      </c>
      <c r="B381" s="248" t="s">
        <v>613</v>
      </c>
      <c r="C381" s="246">
        <v>600000</v>
      </c>
      <c r="D381" s="245">
        <f t="shared" si="11"/>
        <v>630000</v>
      </c>
      <c r="E381" s="245">
        <f t="shared" si="11"/>
        <v>661500</v>
      </c>
    </row>
    <row r="382" spans="1:5" ht="15.65" x14ac:dyDescent="0.3">
      <c r="A382" s="152"/>
      <c r="B382" s="241" t="s">
        <v>614</v>
      </c>
      <c r="C382" s="266">
        <f>C381</f>
        <v>600000</v>
      </c>
      <c r="D382" s="266">
        <f t="shared" si="11"/>
        <v>630000</v>
      </c>
      <c r="E382" s="266">
        <f t="shared" si="11"/>
        <v>661500</v>
      </c>
    </row>
    <row r="383" spans="1:5" s="253" customFormat="1" ht="15.65" x14ac:dyDescent="0.3">
      <c r="A383" s="152" t="s">
        <v>0</v>
      </c>
      <c r="B383" s="241" t="s">
        <v>615</v>
      </c>
      <c r="C383" s="242"/>
      <c r="D383" s="242">
        <f t="shared" si="11"/>
        <v>0</v>
      </c>
      <c r="E383" s="242">
        <f t="shared" si="11"/>
        <v>0</v>
      </c>
    </row>
    <row r="384" spans="1:5" ht="15.65" x14ac:dyDescent="0.3">
      <c r="A384" s="152">
        <v>2210100</v>
      </c>
      <c r="B384" s="241" t="s">
        <v>23</v>
      </c>
      <c r="C384" s="266">
        <f>C385+C386</f>
        <v>121824</v>
      </c>
      <c r="D384" s="266">
        <f t="shared" si="11"/>
        <v>127915.20000000001</v>
      </c>
      <c r="E384" s="266">
        <f t="shared" si="11"/>
        <v>134310.96000000002</v>
      </c>
    </row>
    <row r="385" spans="1:5" ht="15.65" x14ac:dyDescent="0.3">
      <c r="A385" s="243">
        <v>2210101</v>
      </c>
      <c r="B385" s="244" t="s">
        <v>24</v>
      </c>
      <c r="C385" s="246">
        <v>76800</v>
      </c>
      <c r="D385" s="245">
        <f t="shared" si="11"/>
        <v>80640</v>
      </c>
      <c r="E385" s="245">
        <f t="shared" si="11"/>
        <v>84672</v>
      </c>
    </row>
    <row r="386" spans="1:5" ht="15.65" x14ac:dyDescent="0.3">
      <c r="A386" s="243">
        <v>2210102</v>
      </c>
      <c r="B386" s="244" t="s">
        <v>25</v>
      </c>
      <c r="C386" s="246">
        <v>45024</v>
      </c>
      <c r="D386" s="245">
        <f t="shared" si="11"/>
        <v>47275.200000000004</v>
      </c>
      <c r="E386" s="245">
        <f t="shared" si="11"/>
        <v>49638.960000000006</v>
      </c>
    </row>
    <row r="387" spans="1:5" ht="15.65" x14ac:dyDescent="0.3">
      <c r="A387" s="152">
        <v>2210200</v>
      </c>
      <c r="B387" s="241" t="s">
        <v>26</v>
      </c>
      <c r="C387" s="266">
        <f>C388</f>
        <v>64000</v>
      </c>
      <c r="D387" s="266">
        <f t="shared" si="11"/>
        <v>67200</v>
      </c>
      <c r="E387" s="266">
        <f t="shared" si="11"/>
        <v>70560</v>
      </c>
    </row>
    <row r="388" spans="1:5" ht="15.65" x14ac:dyDescent="0.3">
      <c r="A388" s="243">
        <v>2210201</v>
      </c>
      <c r="B388" s="67" t="s">
        <v>27</v>
      </c>
      <c r="C388" s="246">
        <v>64000</v>
      </c>
      <c r="D388" s="245">
        <f t="shared" si="11"/>
        <v>67200</v>
      </c>
      <c r="E388" s="245">
        <f t="shared" si="11"/>
        <v>70560</v>
      </c>
    </row>
    <row r="389" spans="1:5" ht="15.65" x14ac:dyDescent="0.3">
      <c r="A389" s="152">
        <v>2210300</v>
      </c>
      <c r="B389" s="241" t="s">
        <v>30</v>
      </c>
      <c r="C389" s="266">
        <f>C390+C391+C392</f>
        <v>80000</v>
      </c>
      <c r="D389" s="266">
        <f t="shared" si="11"/>
        <v>84000</v>
      </c>
      <c r="E389" s="266">
        <f t="shared" si="11"/>
        <v>88200</v>
      </c>
    </row>
    <row r="390" spans="1:5" ht="15.65" x14ac:dyDescent="0.3">
      <c r="A390" s="243">
        <v>2210301</v>
      </c>
      <c r="B390" s="244" t="s">
        <v>331</v>
      </c>
      <c r="C390" s="246">
        <v>50000</v>
      </c>
      <c r="D390" s="245">
        <f t="shared" si="11"/>
        <v>52500</v>
      </c>
      <c r="E390" s="245">
        <f t="shared" si="11"/>
        <v>55125</v>
      </c>
    </row>
    <row r="391" spans="1:5" ht="15.65" x14ac:dyDescent="0.3">
      <c r="A391" s="243">
        <v>2210303</v>
      </c>
      <c r="B391" s="244" t="s">
        <v>32</v>
      </c>
      <c r="C391" s="246">
        <v>0</v>
      </c>
      <c r="D391" s="245">
        <f t="shared" si="11"/>
        <v>0</v>
      </c>
      <c r="E391" s="245">
        <f t="shared" si="11"/>
        <v>0</v>
      </c>
    </row>
    <row r="392" spans="1:5" ht="15.65" x14ac:dyDescent="0.3">
      <c r="A392" s="110">
        <v>2210310</v>
      </c>
      <c r="B392" s="248" t="s">
        <v>567</v>
      </c>
      <c r="C392" s="246">
        <v>30000</v>
      </c>
      <c r="D392" s="245">
        <f t="shared" si="11"/>
        <v>31500</v>
      </c>
      <c r="E392" s="245">
        <f t="shared" si="11"/>
        <v>33075</v>
      </c>
    </row>
    <row r="393" spans="1:5" ht="15.65" x14ac:dyDescent="0.3">
      <c r="A393" s="152">
        <v>2211200</v>
      </c>
      <c r="B393" s="241" t="s">
        <v>60</v>
      </c>
      <c r="C393" s="246">
        <v>0</v>
      </c>
      <c r="D393" s="266">
        <f t="shared" si="11"/>
        <v>0</v>
      </c>
      <c r="E393" s="266">
        <f t="shared" si="11"/>
        <v>0</v>
      </c>
    </row>
    <row r="394" spans="1:5" ht="15.65" x14ac:dyDescent="0.3">
      <c r="A394" s="243">
        <v>2211201</v>
      </c>
      <c r="B394" s="244" t="s">
        <v>61</v>
      </c>
      <c r="C394" s="246">
        <v>0</v>
      </c>
      <c r="D394" s="245">
        <f t="shared" si="11"/>
        <v>0</v>
      </c>
      <c r="E394" s="245">
        <f t="shared" si="11"/>
        <v>0</v>
      </c>
    </row>
    <row r="395" spans="1:5" ht="15.65" x14ac:dyDescent="0.3">
      <c r="A395" s="152">
        <v>2211300</v>
      </c>
      <c r="B395" s="241" t="s">
        <v>62</v>
      </c>
      <c r="C395" s="266">
        <f>C396+C397</f>
        <v>0</v>
      </c>
      <c r="D395" s="266">
        <f t="shared" si="11"/>
        <v>0</v>
      </c>
      <c r="E395" s="266">
        <f t="shared" si="11"/>
        <v>0</v>
      </c>
    </row>
    <row r="396" spans="1:5" ht="15.65" x14ac:dyDescent="0.3">
      <c r="A396" s="251" t="s">
        <v>219</v>
      </c>
      <c r="B396" s="249" t="s">
        <v>220</v>
      </c>
      <c r="C396" s="245">
        <v>0</v>
      </c>
      <c r="D396" s="245">
        <f t="shared" si="11"/>
        <v>0</v>
      </c>
      <c r="E396" s="245">
        <f t="shared" si="11"/>
        <v>0</v>
      </c>
    </row>
    <row r="397" spans="1:5" ht="15.65" x14ac:dyDescent="0.3">
      <c r="A397" s="251">
        <v>2211023</v>
      </c>
      <c r="B397" s="249" t="s">
        <v>574</v>
      </c>
      <c r="C397" s="246">
        <v>0</v>
      </c>
      <c r="D397" s="245">
        <f t="shared" si="11"/>
        <v>0</v>
      </c>
      <c r="E397" s="245">
        <f t="shared" si="11"/>
        <v>0</v>
      </c>
    </row>
    <row r="398" spans="1:5" ht="15.65" x14ac:dyDescent="0.3">
      <c r="A398" s="152">
        <v>2220100</v>
      </c>
      <c r="B398" s="241" t="s">
        <v>71</v>
      </c>
      <c r="C398" s="266">
        <f>C399</f>
        <v>0</v>
      </c>
      <c r="D398" s="266">
        <f t="shared" ref="D398:E405" si="12">C398*1.05</f>
        <v>0</v>
      </c>
      <c r="E398" s="266">
        <f t="shared" si="12"/>
        <v>0</v>
      </c>
    </row>
    <row r="399" spans="1:5" ht="15.65" x14ac:dyDescent="0.3">
      <c r="A399" s="243">
        <v>2220101</v>
      </c>
      <c r="B399" s="244" t="s">
        <v>72</v>
      </c>
      <c r="C399" s="245">
        <v>0</v>
      </c>
      <c r="D399" s="245">
        <f t="shared" si="12"/>
        <v>0</v>
      </c>
      <c r="E399" s="245">
        <f t="shared" si="12"/>
        <v>0</v>
      </c>
    </row>
    <row r="400" spans="1:5" ht="15.65" x14ac:dyDescent="0.3">
      <c r="A400" s="152">
        <v>3111400</v>
      </c>
      <c r="B400" s="241" t="s">
        <v>478</v>
      </c>
      <c r="C400" s="242">
        <f>C401</f>
        <v>0</v>
      </c>
      <c r="D400" s="242">
        <f t="shared" si="12"/>
        <v>0</v>
      </c>
      <c r="E400" s="242">
        <f t="shared" si="12"/>
        <v>0</v>
      </c>
    </row>
    <row r="401" spans="1:5" ht="15.65" x14ac:dyDescent="0.3">
      <c r="A401" s="243">
        <v>3111401</v>
      </c>
      <c r="B401" s="244" t="s">
        <v>478</v>
      </c>
      <c r="C401" s="246">
        <v>0</v>
      </c>
      <c r="D401" s="245">
        <f t="shared" si="12"/>
        <v>0</v>
      </c>
      <c r="E401" s="245">
        <f t="shared" si="12"/>
        <v>0</v>
      </c>
    </row>
    <row r="402" spans="1:5" ht="15.65" x14ac:dyDescent="0.3">
      <c r="A402" s="152"/>
      <c r="B402" s="241" t="s">
        <v>616</v>
      </c>
      <c r="C402" s="266">
        <f>C401+C398+C395+C392+C389+C387+C384</f>
        <v>295824</v>
      </c>
      <c r="D402" s="266">
        <f t="shared" si="12"/>
        <v>310615.2</v>
      </c>
      <c r="E402" s="266">
        <f t="shared" si="12"/>
        <v>326145.96000000002</v>
      </c>
    </row>
    <row r="403" spans="1:5" ht="15.65" x14ac:dyDescent="0.3">
      <c r="A403" s="152"/>
      <c r="B403" s="241" t="s">
        <v>617</v>
      </c>
      <c r="C403" s="266">
        <f>C402+C378+C382</f>
        <v>150519990.75931701</v>
      </c>
      <c r="D403" s="266">
        <f t="shared" si="12"/>
        <v>158045990.29728287</v>
      </c>
      <c r="E403" s="266">
        <f t="shared" si="12"/>
        <v>165948289.81214702</v>
      </c>
    </row>
    <row r="404" spans="1:5" ht="15.65" x14ac:dyDescent="0.3">
      <c r="A404" s="152"/>
      <c r="B404" s="241" t="s">
        <v>618</v>
      </c>
      <c r="C404" s="266">
        <f>C377</f>
        <v>84875189</v>
      </c>
      <c r="D404" s="266">
        <f t="shared" si="12"/>
        <v>89118948.450000003</v>
      </c>
      <c r="E404" s="266">
        <f t="shared" si="12"/>
        <v>93574895.872500002</v>
      </c>
    </row>
    <row r="405" spans="1:5" ht="15.65" x14ac:dyDescent="0.3">
      <c r="A405" s="257"/>
      <c r="B405" s="241" t="s">
        <v>619</v>
      </c>
      <c r="C405" s="270">
        <f>C403+C404</f>
        <v>235395179.75931701</v>
      </c>
      <c r="D405" s="270">
        <f t="shared" si="12"/>
        <v>247164938.74728286</v>
      </c>
      <c r="E405" s="270">
        <f t="shared" si="12"/>
        <v>259523185.68464702</v>
      </c>
    </row>
    <row r="406" spans="1:5" ht="15.65" x14ac:dyDescent="0.3">
      <c r="A406" s="257"/>
      <c r="B406" s="241"/>
      <c r="C406" s="270"/>
      <c r="D406" s="270"/>
      <c r="E406" s="270"/>
    </row>
    <row r="407" spans="1:5" ht="15.65" x14ac:dyDescent="0.3">
      <c r="A407" s="257"/>
      <c r="B407" s="241"/>
      <c r="C407" s="270"/>
      <c r="D407" s="270"/>
      <c r="E407" s="270"/>
    </row>
    <row r="408" spans="1:5" s="253" customFormat="1" ht="15.65" x14ac:dyDescent="0.3">
      <c r="A408" s="257"/>
      <c r="B408" s="241" t="s">
        <v>596</v>
      </c>
      <c r="C408" s="271">
        <f>C403+C278+C158</f>
        <v>370663544.0000003</v>
      </c>
      <c r="D408" s="271">
        <f>C408*1.05</f>
        <v>389196721.20000035</v>
      </c>
      <c r="E408" s="271">
        <f t="shared" ref="E408:E409" si="13">D408*1.05</f>
        <v>408656557.26000041</v>
      </c>
    </row>
    <row r="409" spans="1:5" s="253" customFormat="1" ht="15.65" x14ac:dyDescent="0.3">
      <c r="A409" s="146"/>
      <c r="B409" s="241" t="s">
        <v>597</v>
      </c>
      <c r="C409" s="271">
        <f>C404+C279+C159</f>
        <v>664590380.52480006</v>
      </c>
      <c r="D409" s="271">
        <f>C409*1.05</f>
        <v>697819899.55104005</v>
      </c>
      <c r="E409" s="271">
        <f t="shared" si="13"/>
        <v>732710894.52859211</v>
      </c>
    </row>
    <row r="410" spans="1:5" s="253" customFormat="1" ht="16.25" x14ac:dyDescent="0.35">
      <c r="A410" s="146"/>
      <c r="B410" s="705" t="s">
        <v>1277</v>
      </c>
      <c r="C410" s="724">
        <f>C409+C408</f>
        <v>1035253924.5248003</v>
      </c>
      <c r="D410" s="724">
        <f t="shared" ref="D410:E410" si="14">D409+D408</f>
        <v>1087016620.7510405</v>
      </c>
      <c r="E410" s="724">
        <f t="shared" si="14"/>
        <v>1141367451.7885926</v>
      </c>
    </row>
    <row r="411" spans="1:5" ht="15.65" x14ac:dyDescent="0.3">
      <c r="B411" s="705" t="s">
        <v>1193</v>
      </c>
      <c r="C411" s="727">
        <f>'Local Rev.'!D20</f>
        <v>366471354.87735784</v>
      </c>
      <c r="D411" s="245">
        <f t="shared" ref="D411" si="15">C411*1.05</f>
        <v>384794922.62122577</v>
      </c>
      <c r="E411" s="245">
        <f t="shared" ref="E411" si="16">D411*1.05</f>
        <v>404034668.75228709</v>
      </c>
    </row>
    <row r="412" spans="1:5" ht="16.25" x14ac:dyDescent="0.35">
      <c r="B412" s="705" t="s">
        <v>1278</v>
      </c>
      <c r="C412" s="724">
        <f>C410-C411</f>
        <v>668782569.64744246</v>
      </c>
      <c r="D412" s="724">
        <f t="shared" ref="D412:E412" si="17">D410-D411</f>
        <v>702221698.12981462</v>
      </c>
      <c r="E412" s="724">
        <f t="shared" si="17"/>
        <v>737332783.03630543</v>
      </c>
    </row>
  </sheetData>
  <protectedRanges>
    <protectedRange password="C43E" sqref="A67" name="Range1_27_2_1_1_3"/>
    <protectedRange password="C43E" sqref="B103" name="Range1_49_1_2_1_3"/>
    <protectedRange password="C43E" sqref="C152" name="Range1_63_1_2_1_3"/>
    <protectedRange password="C43E" sqref="A154" name="Range1_73_1_2_1_3"/>
    <protectedRange password="C43E" sqref="B29" name="Range1_8_2_1_1_1_3"/>
    <protectedRange password="C43E" sqref="B30" name="Range1_8_3_1_1_1_3"/>
    <protectedRange password="C43E" sqref="B27" name="Range1_8_4_1_1_1_3"/>
    <protectedRange password="C43E" sqref="B58" name="Range1_22_1_1_1_1_3"/>
    <protectedRange password="C43E" sqref="A141:B141 A59:B59" name="Range1_22_2_1_1_1_3"/>
    <protectedRange password="C43E" sqref="B60 B142" name="Range1_22_4_1_1_1_3"/>
    <protectedRange password="C43E" sqref="A69:B69" name="Range1_25_1_1_1_3"/>
    <protectedRange password="C43E" sqref="A240" name="Range1_27_2_4_1_3"/>
    <protectedRange password="C43E" sqref="A267:B267" name="Range1_99_2_4_1_3"/>
    <protectedRange password="C43E" sqref="B203" name="Range1_8_2_1_4_1_3"/>
    <protectedRange password="C43E" sqref="B204" name="Range1_8_3_1_4_1_3"/>
    <protectedRange password="C43E" sqref="B201" name="Range1_8_4_1_4_1_3"/>
    <protectedRange password="C43E" sqref="B231" name="Range1_22_1_1_4_1_3"/>
    <protectedRange password="C43E" sqref="A232:B232" name="Range1_22_2_1_4_1_3"/>
    <protectedRange password="C43E" sqref="B233" name="Range1_22_4_1_4_1_3"/>
    <protectedRange password="C43E" sqref="A242:B242" name="Range1_25_1_4_1_3"/>
    <protectedRange password="C43E" sqref="A343" name="Range1_27_3_1_3"/>
    <protectedRange password="C43E" sqref="A396:B397" name="Range1_76_1_1_3"/>
    <protectedRange password="C43E" sqref="A372:B372" name="Range1_99_3_1_3"/>
    <protectedRange password="C43E" sqref="B306" name="Range1_8_2_2_1_3"/>
    <protectedRange password="C43E" sqref="B307" name="Range1_8_3_2_1_3"/>
    <protectedRange password="C43E" sqref="B304" name="Range1_8_4_2_1_3"/>
    <protectedRange password="C43E" sqref="B335" name="Range1_22_1_2_1_3"/>
    <protectedRange password="C43E" sqref="A336:B336" name="Range1_22_2_2_1_3"/>
    <protectedRange password="C43E" sqref="B337" name="Range1_22_4_2_1_3"/>
    <protectedRange password="C43E" sqref="A345:B345" name="Range1_25_2_1_3"/>
    <protectedRange password="C43E" sqref="A20:B21 A110:B110 A276:B276 A381:B381 A392:B392 A195:B195 A298:B298" name="Range1_4_1_1_1_3_1_1_4"/>
  </protectedRanges>
  <mergeCells count="2">
    <mergeCell ref="A2:E2"/>
    <mergeCell ref="A1:E1"/>
  </mergeCells>
  <pageMargins left="0.7" right="0.7" top="0.75" bottom="0.75" header="0.3" footer="0.3"/>
  <pageSetup paperSize="9" scale="75" orientation="portrait" r:id="rId1"/>
  <customProperties>
    <customPr name="LastActive" r:id="rId2"/>
  </customProperties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1"/>
  <sheetViews>
    <sheetView view="pageBreakPreview" topLeftCell="B123" zoomScale="104" zoomScaleNormal="100" zoomScaleSheetLayoutView="104" workbookViewId="0">
      <selection activeCell="C143" sqref="C143"/>
    </sheetView>
  </sheetViews>
  <sheetFormatPr defaultColWidth="14.453125" defaultRowHeight="15.5" x14ac:dyDescent="0.35"/>
  <cols>
    <col min="1" max="1" width="11.90625" style="60" customWidth="1"/>
    <col min="2" max="2" width="45.1796875" style="6" customWidth="1"/>
    <col min="3" max="3" width="16.54296875" style="6" customWidth="1"/>
    <col min="4" max="5" width="18.54296875" style="6" customWidth="1"/>
    <col min="6" max="6" width="16.54296875" style="6" customWidth="1"/>
    <col min="7" max="16384" width="14.453125" style="6"/>
  </cols>
  <sheetData>
    <row r="1" spans="1:7" ht="15.65" x14ac:dyDescent="0.3">
      <c r="A1" s="273" t="s">
        <v>795</v>
      </c>
      <c r="B1" s="274"/>
      <c r="C1" s="274"/>
      <c r="D1" s="274"/>
      <c r="E1" s="274"/>
    </row>
    <row r="2" spans="1:7" ht="45.65" customHeight="1" x14ac:dyDescent="0.3">
      <c r="A2" s="275" t="s">
        <v>0</v>
      </c>
      <c r="B2" s="300" t="s">
        <v>97</v>
      </c>
      <c r="C2" s="276" t="s">
        <v>482</v>
      </c>
      <c r="D2" s="276" t="s">
        <v>697</v>
      </c>
      <c r="E2" s="276" t="s">
        <v>796</v>
      </c>
    </row>
    <row r="3" spans="1:7" ht="15.65" x14ac:dyDescent="0.3">
      <c r="A3" s="117">
        <v>2110100</v>
      </c>
      <c r="B3" s="146" t="s">
        <v>1</v>
      </c>
      <c r="C3" s="277">
        <f>C4+C5+C6</f>
        <v>35083852</v>
      </c>
      <c r="D3" s="277">
        <f>D4+D5+D6</f>
        <v>36838044.599999994</v>
      </c>
      <c r="E3" s="277">
        <f>E4+E5+E6</f>
        <v>38679946.829999998</v>
      </c>
    </row>
    <row r="4" spans="1:7" ht="16.25" thickBot="1" x14ac:dyDescent="0.35">
      <c r="A4" s="110" t="s">
        <v>98</v>
      </c>
      <c r="B4" s="248" t="s">
        <v>99</v>
      </c>
      <c r="C4" s="279">
        <f>5429424+26655707</f>
        <v>32085131</v>
      </c>
      <c r="D4" s="280">
        <f>C4*0.05+C4</f>
        <v>33689387.549999997</v>
      </c>
      <c r="E4" s="280">
        <f t="shared" ref="E4:E68" si="0">1.05*D4</f>
        <v>35373856.927500002</v>
      </c>
      <c r="G4" s="787">
        <f>-G12+19762384</f>
        <v>25191808</v>
      </c>
    </row>
    <row r="5" spans="1:7" ht="16.25" thickBot="1" x14ac:dyDescent="0.35">
      <c r="A5" s="110">
        <v>2110102</v>
      </c>
      <c r="B5" s="248" t="s">
        <v>100</v>
      </c>
      <c r="C5" s="280">
        <v>0</v>
      </c>
      <c r="D5" s="280">
        <f>C5*0.05+C5</f>
        <v>0</v>
      </c>
      <c r="E5" s="280">
        <f t="shared" si="0"/>
        <v>0</v>
      </c>
      <c r="G5" s="787">
        <v>3331320</v>
      </c>
    </row>
    <row r="6" spans="1:7" ht="16.25" thickBot="1" x14ac:dyDescent="0.35">
      <c r="A6" s="110">
        <v>2120103</v>
      </c>
      <c r="B6" s="248" t="s">
        <v>698</v>
      </c>
      <c r="C6" s="280">
        <v>2998721</v>
      </c>
      <c r="D6" s="280">
        <f>C6*0.05+C6</f>
        <v>3148657.05</v>
      </c>
      <c r="E6" s="280">
        <f t="shared" si="0"/>
        <v>3306089.9024999999</v>
      </c>
      <c r="G6" s="787">
        <v>1980000</v>
      </c>
    </row>
    <row r="7" spans="1:7" ht="16.25" thickBot="1" x14ac:dyDescent="0.35">
      <c r="A7" s="117">
        <v>2210100</v>
      </c>
      <c r="B7" s="301" t="s">
        <v>23</v>
      </c>
      <c r="C7" s="277">
        <f t="shared" ref="C7:E7" si="1">C8+C9</f>
        <v>0</v>
      </c>
      <c r="D7" s="277">
        <f t="shared" si="1"/>
        <v>0</v>
      </c>
      <c r="E7" s="277">
        <f t="shared" si="1"/>
        <v>0</v>
      </c>
      <c r="G7" s="787">
        <v>1500000</v>
      </c>
    </row>
    <row r="8" spans="1:7" ht="16.25" thickBot="1" x14ac:dyDescent="0.35">
      <c r="A8" s="110" t="s">
        <v>101</v>
      </c>
      <c r="B8" s="248" t="s">
        <v>102</v>
      </c>
      <c r="C8" s="280">
        <v>0</v>
      </c>
      <c r="D8" s="280">
        <f>C8*0.05+C8</f>
        <v>0</v>
      </c>
      <c r="E8" s="280">
        <f t="shared" si="0"/>
        <v>0</v>
      </c>
      <c r="G8" s="787">
        <v>2798724</v>
      </c>
    </row>
    <row r="9" spans="1:7" ht="16.25" thickBot="1" x14ac:dyDescent="0.35">
      <c r="A9" s="110" t="s">
        <v>103</v>
      </c>
      <c r="B9" s="248" t="s">
        <v>104</v>
      </c>
      <c r="C9" s="280">
        <v>0</v>
      </c>
      <c r="D9" s="280">
        <f>C9*0.05+C9</f>
        <v>0</v>
      </c>
      <c r="E9" s="280">
        <f t="shared" si="0"/>
        <v>0</v>
      </c>
      <c r="G9" s="787">
        <v>282000</v>
      </c>
    </row>
    <row r="10" spans="1:7" ht="16.25" thickBot="1" x14ac:dyDescent="0.35">
      <c r="A10" s="117">
        <v>2210200</v>
      </c>
      <c r="B10" s="301" t="s">
        <v>26</v>
      </c>
      <c r="C10" s="277">
        <f t="shared" ref="C10:E10" si="2">C11+C12+C13</f>
        <v>368000</v>
      </c>
      <c r="D10" s="277">
        <f t="shared" si="2"/>
        <v>386400</v>
      </c>
      <c r="E10" s="277">
        <f t="shared" si="2"/>
        <v>405720.00000000006</v>
      </c>
      <c r="G10" s="787">
        <v>29654428</v>
      </c>
    </row>
    <row r="11" spans="1:7" ht="15.65" x14ac:dyDescent="0.3">
      <c r="A11" s="110" t="s">
        <v>105</v>
      </c>
      <c r="B11" s="248" t="s">
        <v>106</v>
      </c>
      <c r="C11" s="280">
        <f>332800-66560</f>
        <v>266240</v>
      </c>
      <c r="D11" s="280">
        <f>C11*0.05+C11</f>
        <v>279552</v>
      </c>
      <c r="E11" s="280">
        <f t="shared" si="0"/>
        <v>293529.60000000003</v>
      </c>
    </row>
    <row r="12" spans="1:7" ht="15.65" x14ac:dyDescent="0.3">
      <c r="A12" s="110" t="s">
        <v>107</v>
      </c>
      <c r="B12" s="248" t="s">
        <v>108</v>
      </c>
      <c r="C12" s="280">
        <f>120000-24000</f>
        <v>96000</v>
      </c>
      <c r="D12" s="280">
        <f t="shared" ref="D12:D13" si="3">C12*0.05+C12</f>
        <v>100800</v>
      </c>
      <c r="E12" s="280">
        <f t="shared" si="0"/>
        <v>105840</v>
      </c>
      <c r="G12" s="10">
        <f>G10-C3</f>
        <v>-5429424</v>
      </c>
    </row>
    <row r="13" spans="1:7" ht="15.65" x14ac:dyDescent="0.3">
      <c r="A13" s="110" t="s">
        <v>109</v>
      </c>
      <c r="B13" s="248" t="s">
        <v>29</v>
      </c>
      <c r="C13" s="280">
        <f>7200-1440</f>
        <v>5760</v>
      </c>
      <c r="D13" s="280">
        <f t="shared" si="3"/>
        <v>6048</v>
      </c>
      <c r="E13" s="280">
        <f t="shared" si="0"/>
        <v>6350.4000000000005</v>
      </c>
    </row>
    <row r="14" spans="1:7" ht="15.65" x14ac:dyDescent="0.3">
      <c r="A14" s="117">
        <v>2210300</v>
      </c>
      <c r="B14" s="146" t="s">
        <v>30</v>
      </c>
      <c r="C14" s="277">
        <f t="shared" ref="C14:E14" si="4">C15+C16+C17+C18</f>
        <v>1280105.6000000001</v>
      </c>
      <c r="D14" s="277">
        <f t="shared" si="4"/>
        <v>1344110.8800000001</v>
      </c>
      <c r="E14" s="277">
        <f t="shared" si="4"/>
        <v>1411316.4240000001</v>
      </c>
      <c r="F14" s="6" t="s">
        <v>786</v>
      </c>
    </row>
    <row r="15" spans="1:7" ht="15.65" x14ac:dyDescent="0.3">
      <c r="A15" s="110" t="s">
        <v>110</v>
      </c>
      <c r="B15" s="248" t="s">
        <v>111</v>
      </c>
      <c r="C15" s="281">
        <f>1600132-320026.4-700000-200000</f>
        <v>380105.60000000009</v>
      </c>
      <c r="D15" s="280">
        <f>C15*0.05+C15</f>
        <v>399110.88000000012</v>
      </c>
      <c r="E15" s="280">
        <f t="shared" si="0"/>
        <v>419066.42400000017</v>
      </c>
    </row>
    <row r="16" spans="1:7" ht="15.65" x14ac:dyDescent="0.3">
      <c r="A16" s="110" t="s">
        <v>112</v>
      </c>
      <c r="B16" s="248" t="s">
        <v>113</v>
      </c>
      <c r="C16" s="281">
        <f>-200000+500000</f>
        <v>300000</v>
      </c>
      <c r="D16" s="280">
        <f t="shared" ref="D16:D18" si="5">C16*0.05+C16</f>
        <v>315000</v>
      </c>
      <c r="E16" s="280">
        <f t="shared" si="0"/>
        <v>330750</v>
      </c>
    </row>
    <row r="17" spans="1:5" ht="15.65" x14ac:dyDescent="0.3">
      <c r="A17" s="110" t="s">
        <v>114</v>
      </c>
      <c r="B17" s="248" t="s">
        <v>115</v>
      </c>
      <c r="C17" s="281">
        <f>-200000+500000</f>
        <v>300000</v>
      </c>
      <c r="D17" s="280">
        <f t="shared" si="5"/>
        <v>315000</v>
      </c>
      <c r="E17" s="280">
        <f t="shared" si="0"/>
        <v>330750</v>
      </c>
    </row>
    <row r="18" spans="1:5" ht="15.65" x14ac:dyDescent="0.3">
      <c r="A18" s="110">
        <v>2210309</v>
      </c>
      <c r="B18" s="248" t="s">
        <v>116</v>
      </c>
      <c r="C18" s="281">
        <f>-200000+500000</f>
        <v>300000</v>
      </c>
      <c r="D18" s="280">
        <f t="shared" si="5"/>
        <v>315000</v>
      </c>
      <c r="E18" s="280">
        <f t="shared" si="0"/>
        <v>330750</v>
      </c>
    </row>
    <row r="19" spans="1:5" ht="15.65" x14ac:dyDescent="0.3">
      <c r="A19" s="114" t="s">
        <v>117</v>
      </c>
      <c r="B19" s="297" t="s">
        <v>118</v>
      </c>
      <c r="C19" s="277">
        <f t="shared" ref="C19:E19" si="6">C20+C21</f>
        <v>0</v>
      </c>
      <c r="D19" s="277">
        <f t="shared" si="6"/>
        <v>0</v>
      </c>
      <c r="E19" s="277">
        <f t="shared" si="6"/>
        <v>0</v>
      </c>
    </row>
    <row r="20" spans="1:5" ht="15.65" x14ac:dyDescent="0.3">
      <c r="A20" s="283" t="s">
        <v>119</v>
      </c>
      <c r="B20" s="302" t="s">
        <v>120</v>
      </c>
      <c r="C20" s="280">
        <v>0</v>
      </c>
      <c r="D20" s="280">
        <f>C20*0.05+C20</f>
        <v>0</v>
      </c>
      <c r="E20" s="280">
        <f t="shared" si="0"/>
        <v>0</v>
      </c>
    </row>
    <row r="21" spans="1:5" ht="15.65" x14ac:dyDescent="0.3">
      <c r="A21" s="283" t="s">
        <v>121</v>
      </c>
      <c r="B21" s="302" t="s">
        <v>115</v>
      </c>
      <c r="C21" s="280">
        <v>0</v>
      </c>
      <c r="D21" s="280">
        <f>C21*0.05+C21</f>
        <v>0</v>
      </c>
      <c r="E21" s="280">
        <f t="shared" si="0"/>
        <v>0</v>
      </c>
    </row>
    <row r="22" spans="1:5" ht="15.75" customHeight="1" x14ac:dyDescent="0.3">
      <c r="A22" s="117">
        <v>2210500</v>
      </c>
      <c r="B22" s="146" t="s">
        <v>38</v>
      </c>
      <c r="C22" s="277">
        <f>C23+C24+C25</f>
        <v>921141.6</v>
      </c>
      <c r="D22" s="277">
        <f t="shared" ref="D22:E22" si="7">D23+D24+D25</f>
        <v>967198.67999999993</v>
      </c>
      <c r="E22" s="277">
        <f t="shared" si="7"/>
        <v>1015558.6140000001</v>
      </c>
    </row>
    <row r="23" spans="1:5" ht="15.75" customHeight="1" x14ac:dyDescent="0.3">
      <c r="A23" s="110" t="s">
        <v>122</v>
      </c>
      <c r="B23" s="248" t="s">
        <v>123</v>
      </c>
      <c r="C23" s="280">
        <f>-5285.4+26427</f>
        <v>21141.599999999999</v>
      </c>
      <c r="D23" s="280">
        <f>C23*0.05+C23</f>
        <v>22198.68</v>
      </c>
      <c r="E23" s="280">
        <f t="shared" si="0"/>
        <v>23308.614000000001</v>
      </c>
    </row>
    <row r="24" spans="1:5" ht="15.75" customHeight="1" x14ac:dyDescent="0.3">
      <c r="A24" s="110" t="s">
        <v>124</v>
      </c>
      <c r="B24" s="248" t="s">
        <v>125</v>
      </c>
      <c r="C24" s="280">
        <f>500000-100000</f>
        <v>400000</v>
      </c>
      <c r="D24" s="280">
        <f t="shared" ref="D24:D25" si="8">C24*0.05+C24</f>
        <v>420000</v>
      </c>
      <c r="E24" s="280">
        <f t="shared" si="0"/>
        <v>441000</v>
      </c>
    </row>
    <row r="25" spans="1:5" ht="15.75" customHeight="1" x14ac:dyDescent="0.3">
      <c r="A25" s="110">
        <v>2210505</v>
      </c>
      <c r="B25" s="248" t="s">
        <v>126</v>
      </c>
      <c r="C25" s="280">
        <v>500000</v>
      </c>
      <c r="D25" s="280">
        <f t="shared" si="8"/>
        <v>525000</v>
      </c>
      <c r="E25" s="280">
        <f t="shared" si="0"/>
        <v>551250</v>
      </c>
    </row>
    <row r="26" spans="1:5" ht="15.75" customHeight="1" x14ac:dyDescent="0.3">
      <c r="A26" s="117">
        <v>2210700</v>
      </c>
      <c r="B26" s="146" t="s">
        <v>45</v>
      </c>
      <c r="C26" s="277">
        <f t="shared" ref="C26:E26" si="9">C27+C28</f>
        <v>0</v>
      </c>
      <c r="D26" s="277">
        <f t="shared" si="9"/>
        <v>0</v>
      </c>
      <c r="E26" s="277">
        <f t="shared" si="9"/>
        <v>0</v>
      </c>
    </row>
    <row r="27" spans="1:5" ht="15.75" customHeight="1" x14ac:dyDescent="0.3">
      <c r="A27" s="110" t="s">
        <v>127</v>
      </c>
      <c r="B27" s="248" t="s">
        <v>128</v>
      </c>
      <c r="C27" s="281"/>
      <c r="D27" s="280">
        <f>C27*0.05+C27</f>
        <v>0</v>
      </c>
      <c r="E27" s="280">
        <f t="shared" si="0"/>
        <v>0</v>
      </c>
    </row>
    <row r="28" spans="1:5" ht="15.75" customHeight="1" x14ac:dyDescent="0.3">
      <c r="A28" s="110" t="s">
        <v>129</v>
      </c>
      <c r="B28" s="248" t="s">
        <v>130</v>
      </c>
      <c r="C28" s="281"/>
      <c r="D28" s="280">
        <f>C28*0.05+C28</f>
        <v>0</v>
      </c>
      <c r="E28" s="280">
        <f t="shared" si="0"/>
        <v>0</v>
      </c>
    </row>
    <row r="29" spans="1:5" ht="15.75" customHeight="1" x14ac:dyDescent="0.3">
      <c r="A29" s="117">
        <v>2210800</v>
      </c>
      <c r="B29" s="146" t="s">
        <v>48</v>
      </c>
      <c r="C29" s="277">
        <f>C30+C31+C32</f>
        <v>4270576</v>
      </c>
      <c r="D29" s="277">
        <f t="shared" ref="D29:E29" si="10">D30+D31+D32</f>
        <v>4484104.8</v>
      </c>
      <c r="E29" s="277">
        <f t="shared" si="10"/>
        <v>4708310.04</v>
      </c>
    </row>
    <row r="30" spans="1:5" ht="15.75" customHeight="1" x14ac:dyDescent="0.3">
      <c r="A30" s="110" t="s">
        <v>131</v>
      </c>
      <c r="B30" s="248" t="s">
        <v>132</v>
      </c>
      <c r="C30" s="280">
        <v>400000</v>
      </c>
      <c r="D30" s="280">
        <f>C30*0.05+C30</f>
        <v>420000</v>
      </c>
      <c r="E30" s="280">
        <f t="shared" si="0"/>
        <v>441000</v>
      </c>
    </row>
    <row r="31" spans="1:5" ht="15.75" customHeight="1" x14ac:dyDescent="0.3">
      <c r="A31" s="110" t="s">
        <v>133</v>
      </c>
      <c r="B31" s="248" t="s">
        <v>134</v>
      </c>
      <c r="C31" s="279">
        <f>7800000-2800000-2629424</f>
        <v>2370576</v>
      </c>
      <c r="D31" s="280">
        <f t="shared" ref="D31:D32" si="11">C31*0.05+C31</f>
        <v>2489104.7999999998</v>
      </c>
      <c r="E31" s="280">
        <f t="shared" si="0"/>
        <v>2613560.04</v>
      </c>
    </row>
    <row r="32" spans="1:5" ht="15.75" customHeight="1" x14ac:dyDescent="0.3">
      <c r="A32" s="110">
        <v>2210805</v>
      </c>
      <c r="B32" s="248" t="s">
        <v>135</v>
      </c>
      <c r="C32" s="280">
        <v>1500000</v>
      </c>
      <c r="D32" s="280">
        <f t="shared" si="11"/>
        <v>1575000</v>
      </c>
      <c r="E32" s="280">
        <f t="shared" si="0"/>
        <v>1653750</v>
      </c>
    </row>
    <row r="33" spans="1:5" ht="15.75" customHeight="1" x14ac:dyDescent="0.3">
      <c r="A33" s="114">
        <v>2210900</v>
      </c>
      <c r="B33" s="297" t="s">
        <v>136</v>
      </c>
      <c r="C33" s="277">
        <f t="shared" ref="C33:E33" si="12">C34</f>
        <v>500000</v>
      </c>
      <c r="D33" s="277">
        <f t="shared" si="12"/>
        <v>525000</v>
      </c>
      <c r="E33" s="277">
        <f t="shared" si="12"/>
        <v>551250</v>
      </c>
    </row>
    <row r="34" spans="1:5" ht="15.75" customHeight="1" x14ac:dyDescent="0.3">
      <c r="A34" s="110">
        <v>2210904</v>
      </c>
      <c r="B34" s="248" t="s">
        <v>137</v>
      </c>
      <c r="C34" s="280">
        <v>500000</v>
      </c>
      <c r="D34" s="280">
        <f>C34*0.05+C34</f>
        <v>525000</v>
      </c>
      <c r="E34" s="280">
        <f t="shared" si="0"/>
        <v>551250</v>
      </c>
    </row>
    <row r="35" spans="1:5" ht="15.75" customHeight="1" x14ac:dyDescent="0.3">
      <c r="A35" s="117">
        <v>2211100</v>
      </c>
      <c r="B35" s="146" t="s">
        <v>56</v>
      </c>
      <c r="C35" s="277">
        <f t="shared" ref="C35:E35" si="13">C36+C37</f>
        <v>457414</v>
      </c>
      <c r="D35" s="277">
        <f t="shared" si="13"/>
        <v>480284.7</v>
      </c>
      <c r="E35" s="277">
        <f t="shared" si="13"/>
        <v>504298.935</v>
      </c>
    </row>
    <row r="36" spans="1:5" ht="15.75" customHeight="1" x14ac:dyDescent="0.3">
      <c r="A36" s="110" t="s">
        <v>138</v>
      </c>
      <c r="B36" s="248" t="s">
        <v>139</v>
      </c>
      <c r="C36" s="280">
        <v>400000</v>
      </c>
      <c r="D36" s="280">
        <f>C36*0.05+C36</f>
        <v>420000</v>
      </c>
      <c r="E36" s="280">
        <f t="shared" si="0"/>
        <v>441000</v>
      </c>
    </row>
    <row r="37" spans="1:5" ht="15.75" customHeight="1" x14ac:dyDescent="0.3">
      <c r="A37" s="110" t="s">
        <v>140</v>
      </c>
      <c r="B37" s="248" t="s">
        <v>141</v>
      </c>
      <c r="C37" s="280">
        <v>57414</v>
      </c>
      <c r="D37" s="280">
        <f>C37*0.05+C37</f>
        <v>60284.7</v>
      </c>
      <c r="E37" s="280">
        <f t="shared" si="0"/>
        <v>63298.934999999998</v>
      </c>
    </row>
    <row r="38" spans="1:5" ht="15.75" customHeight="1" x14ac:dyDescent="0.3">
      <c r="A38" s="117">
        <v>2211200</v>
      </c>
      <c r="B38" s="146" t="s">
        <v>60</v>
      </c>
      <c r="C38" s="277">
        <f t="shared" ref="C38:E38" si="14">C39</f>
        <v>700000</v>
      </c>
      <c r="D38" s="277">
        <f t="shared" si="14"/>
        <v>735000</v>
      </c>
      <c r="E38" s="277">
        <f t="shared" si="14"/>
        <v>771750</v>
      </c>
    </row>
    <row r="39" spans="1:5" ht="15.75" customHeight="1" x14ac:dyDescent="0.3">
      <c r="A39" s="110" t="s">
        <v>142</v>
      </c>
      <c r="B39" s="248" t="s">
        <v>143</v>
      </c>
      <c r="C39" s="280">
        <v>700000</v>
      </c>
      <c r="D39" s="280">
        <f>C39*0.05+C39</f>
        <v>735000</v>
      </c>
      <c r="E39" s="280">
        <f t="shared" si="0"/>
        <v>771750</v>
      </c>
    </row>
    <row r="40" spans="1:5" ht="15.75" customHeight="1" x14ac:dyDescent="0.3">
      <c r="A40" s="117">
        <v>2211300</v>
      </c>
      <c r="B40" s="146" t="s">
        <v>62</v>
      </c>
      <c r="C40" s="277">
        <f t="shared" ref="C40:E40" si="15">C41+C42+C43</f>
        <v>55840</v>
      </c>
      <c r="D40" s="277">
        <f t="shared" si="15"/>
        <v>58632</v>
      </c>
      <c r="E40" s="277">
        <f t="shared" si="15"/>
        <v>61563.600000000006</v>
      </c>
    </row>
    <row r="41" spans="1:5" ht="15.75" customHeight="1" x14ac:dyDescent="0.3">
      <c r="A41" s="110" t="s">
        <v>144</v>
      </c>
      <c r="B41" s="248" t="s">
        <v>64</v>
      </c>
      <c r="C41" s="674">
        <v>0</v>
      </c>
      <c r="D41" s="280">
        <f>C41*0.05+C41</f>
        <v>0</v>
      </c>
      <c r="E41" s="280">
        <f t="shared" si="0"/>
        <v>0</v>
      </c>
    </row>
    <row r="42" spans="1:5" ht="15.75" customHeight="1" x14ac:dyDescent="0.3">
      <c r="A42" s="110" t="s">
        <v>145</v>
      </c>
      <c r="B42" s="248" t="s">
        <v>146</v>
      </c>
      <c r="C42" s="280">
        <f>69800-13960</f>
        <v>55840</v>
      </c>
      <c r="D42" s="280">
        <f t="shared" ref="D42:D43" si="16">C42*0.05+C42</f>
        <v>58632</v>
      </c>
      <c r="E42" s="280">
        <f t="shared" si="0"/>
        <v>61563.600000000006</v>
      </c>
    </row>
    <row r="43" spans="1:5" ht="15.75" customHeight="1" x14ac:dyDescent="0.3">
      <c r="A43" s="110">
        <v>2410104</v>
      </c>
      <c r="B43" s="248" t="s">
        <v>147</v>
      </c>
      <c r="C43" s="280">
        <v>0</v>
      </c>
      <c r="D43" s="280">
        <f t="shared" si="16"/>
        <v>0</v>
      </c>
      <c r="E43" s="280">
        <f t="shared" si="0"/>
        <v>0</v>
      </c>
    </row>
    <row r="44" spans="1:5" ht="15.75" customHeight="1" x14ac:dyDescent="0.3">
      <c r="A44" s="117">
        <v>2220100</v>
      </c>
      <c r="B44" s="146" t="s">
        <v>71</v>
      </c>
      <c r="C44" s="277">
        <f t="shared" ref="C44:E44" si="17">C45</f>
        <v>500000</v>
      </c>
      <c r="D44" s="277">
        <f t="shared" si="17"/>
        <v>525000</v>
      </c>
      <c r="E44" s="277">
        <f t="shared" si="17"/>
        <v>551250</v>
      </c>
    </row>
    <row r="45" spans="1:5" ht="15.75" customHeight="1" x14ac:dyDescent="0.3">
      <c r="A45" s="110" t="s">
        <v>148</v>
      </c>
      <c r="B45" s="248" t="s">
        <v>72</v>
      </c>
      <c r="C45" s="284">
        <v>500000</v>
      </c>
      <c r="D45" s="280">
        <f>C45*0.05+C45</f>
        <v>525000</v>
      </c>
      <c r="E45" s="280">
        <f t="shared" si="0"/>
        <v>551250</v>
      </c>
    </row>
    <row r="46" spans="1:5" ht="15.75" customHeight="1" x14ac:dyDescent="0.3">
      <c r="A46" s="114">
        <v>2220200</v>
      </c>
      <c r="B46" s="297" t="s">
        <v>73</v>
      </c>
      <c r="C46" s="277">
        <f>C47+C48+C49</f>
        <v>120000</v>
      </c>
      <c r="D46" s="277">
        <f t="shared" ref="D46:E46" si="18">D47+D48+D49</f>
        <v>126000</v>
      </c>
      <c r="E46" s="277">
        <f t="shared" si="18"/>
        <v>132300</v>
      </c>
    </row>
    <row r="47" spans="1:5" ht="15.75" customHeight="1" x14ac:dyDescent="0.3">
      <c r="A47" s="285">
        <v>2220202</v>
      </c>
      <c r="B47" s="303" t="s">
        <v>149</v>
      </c>
      <c r="C47" s="286">
        <v>40000</v>
      </c>
      <c r="D47" s="280">
        <f>C47*0.05+C47</f>
        <v>42000</v>
      </c>
      <c r="E47" s="280">
        <f t="shared" si="0"/>
        <v>44100</v>
      </c>
    </row>
    <row r="48" spans="1:5" ht="15.75" customHeight="1" x14ac:dyDescent="0.3">
      <c r="A48" s="285">
        <v>2220205</v>
      </c>
      <c r="B48" s="303" t="s">
        <v>150</v>
      </c>
      <c r="C48" s="286">
        <v>40000</v>
      </c>
      <c r="D48" s="280">
        <f t="shared" ref="D48:D52" si="19">C48*0.05+C48</f>
        <v>42000</v>
      </c>
      <c r="E48" s="280">
        <f t="shared" si="0"/>
        <v>44100</v>
      </c>
    </row>
    <row r="49" spans="1:5" ht="15.75" customHeight="1" x14ac:dyDescent="0.3">
      <c r="A49" s="285">
        <v>2220210</v>
      </c>
      <c r="B49" s="303" t="s">
        <v>151</v>
      </c>
      <c r="C49" s="286">
        <v>40000</v>
      </c>
      <c r="D49" s="280">
        <f t="shared" si="19"/>
        <v>42000</v>
      </c>
      <c r="E49" s="280">
        <f t="shared" si="0"/>
        <v>44100</v>
      </c>
    </row>
    <row r="50" spans="1:5" ht="15.75" customHeight="1" x14ac:dyDescent="0.3">
      <c r="A50" s="287">
        <v>2640000</v>
      </c>
      <c r="B50" s="304" t="s">
        <v>797</v>
      </c>
      <c r="C50" s="288">
        <f>C51+C52</f>
        <v>22000000</v>
      </c>
      <c r="D50" s="288">
        <f t="shared" ref="D50:E50" si="20">D51+D52</f>
        <v>23100000</v>
      </c>
      <c r="E50" s="288">
        <f t="shared" si="20"/>
        <v>24255000</v>
      </c>
    </row>
    <row r="51" spans="1:5" ht="15.75" customHeight="1" x14ac:dyDescent="0.3">
      <c r="A51" s="285">
        <v>2640400</v>
      </c>
      <c r="B51" s="303" t="s">
        <v>798</v>
      </c>
      <c r="C51" s="286">
        <v>11000000</v>
      </c>
      <c r="D51" s="280">
        <f t="shared" si="19"/>
        <v>11550000</v>
      </c>
      <c r="E51" s="280">
        <f t="shared" si="0"/>
        <v>12127500</v>
      </c>
    </row>
    <row r="52" spans="1:5" ht="15.75" customHeight="1" x14ac:dyDescent="0.3">
      <c r="A52" s="285">
        <v>2640499</v>
      </c>
      <c r="B52" s="303" t="s">
        <v>799</v>
      </c>
      <c r="C52" s="286">
        <v>11000000</v>
      </c>
      <c r="D52" s="280">
        <f t="shared" si="19"/>
        <v>11550000</v>
      </c>
      <c r="E52" s="280">
        <f t="shared" si="0"/>
        <v>12127500</v>
      </c>
    </row>
    <row r="53" spans="1:5" ht="15.75" customHeight="1" x14ac:dyDescent="0.3">
      <c r="A53" s="117">
        <v>3111000</v>
      </c>
      <c r="B53" s="146" t="s">
        <v>82</v>
      </c>
      <c r="C53" s="280">
        <f t="shared" ref="C53:E53" si="21">C54+C55+C56</f>
        <v>0</v>
      </c>
      <c r="D53" s="280">
        <f t="shared" si="21"/>
        <v>0</v>
      </c>
      <c r="E53" s="280">
        <f t="shared" si="21"/>
        <v>0</v>
      </c>
    </row>
    <row r="54" spans="1:5" ht="15.75" customHeight="1" x14ac:dyDescent="0.3">
      <c r="A54" s="71">
        <v>3110504</v>
      </c>
      <c r="B54" s="89" t="s">
        <v>152</v>
      </c>
      <c r="C54" s="280">
        <v>0</v>
      </c>
      <c r="D54" s="280">
        <f>C54*0.05+C54</f>
        <v>0</v>
      </c>
      <c r="E54" s="280">
        <f t="shared" si="0"/>
        <v>0</v>
      </c>
    </row>
    <row r="55" spans="1:5" ht="15.75" customHeight="1" x14ac:dyDescent="0.3">
      <c r="A55" s="110" t="s">
        <v>153</v>
      </c>
      <c r="B55" s="248" t="s">
        <v>83</v>
      </c>
      <c r="C55" s="280">
        <v>0</v>
      </c>
      <c r="D55" s="280">
        <f t="shared" ref="D55:D56" si="22">C55*0.05+C55</f>
        <v>0</v>
      </c>
      <c r="E55" s="280">
        <f t="shared" si="0"/>
        <v>0</v>
      </c>
    </row>
    <row r="56" spans="1:5" ht="15.75" customHeight="1" x14ac:dyDescent="0.3">
      <c r="A56" s="110">
        <v>3111002</v>
      </c>
      <c r="B56" s="248" t="s">
        <v>154</v>
      </c>
      <c r="C56" s="280">
        <v>0</v>
      </c>
      <c r="D56" s="280">
        <f t="shared" si="22"/>
        <v>0</v>
      </c>
      <c r="E56" s="280">
        <f t="shared" si="0"/>
        <v>0</v>
      </c>
    </row>
    <row r="57" spans="1:5" ht="15.75" customHeight="1" x14ac:dyDescent="0.3">
      <c r="A57" s="114">
        <v>3111401</v>
      </c>
      <c r="B57" s="146" t="s">
        <v>155</v>
      </c>
      <c r="C57" s="277">
        <f>C58</f>
        <v>0</v>
      </c>
      <c r="D57" s="277">
        <f t="shared" ref="D57:E57" si="23">D58</f>
        <v>0</v>
      </c>
      <c r="E57" s="277">
        <f t="shared" si="23"/>
        <v>0</v>
      </c>
    </row>
    <row r="58" spans="1:5" ht="15.75" customHeight="1" x14ac:dyDescent="0.3">
      <c r="A58" s="71">
        <v>3111401</v>
      </c>
      <c r="B58" s="89" t="s">
        <v>155</v>
      </c>
      <c r="C58" s="280">
        <v>0</v>
      </c>
      <c r="D58" s="280">
        <f>C58*0.05+C58</f>
        <v>0</v>
      </c>
      <c r="E58" s="280">
        <f t="shared" si="0"/>
        <v>0</v>
      </c>
    </row>
    <row r="59" spans="1:5" ht="15.75" customHeight="1" x14ac:dyDescent="0.3">
      <c r="A59" s="114"/>
      <c r="B59" s="297" t="s">
        <v>156</v>
      </c>
      <c r="C59" s="277">
        <f>C3+C7+C10+C14+C19+C22+C26+C29+C33+C35+C38+C40+C44+C46+C50+C53+C57</f>
        <v>66256929.200000003</v>
      </c>
      <c r="D59" s="277">
        <f t="shared" ref="D59:E59" si="24">D3+D7+D10+D14+D19+D22+D26+D29+D33+D35+D38+D40+D44+D46+D50+D53+D57</f>
        <v>69569775.659999996</v>
      </c>
      <c r="E59" s="277">
        <f t="shared" si="24"/>
        <v>73048264.443000004</v>
      </c>
    </row>
    <row r="60" spans="1:5" ht="15.75" customHeight="1" x14ac:dyDescent="0.3">
      <c r="A60" s="114"/>
      <c r="B60" s="297" t="s">
        <v>157</v>
      </c>
      <c r="C60" s="277">
        <v>0</v>
      </c>
      <c r="D60" s="280">
        <f>C60*0.05+C60</f>
        <v>0</v>
      </c>
      <c r="E60" s="280">
        <f t="shared" si="0"/>
        <v>0</v>
      </c>
    </row>
    <row r="61" spans="1:5" ht="15.75" customHeight="1" x14ac:dyDescent="0.3">
      <c r="A61" s="114"/>
      <c r="B61" s="297" t="s">
        <v>89</v>
      </c>
      <c r="C61" s="277">
        <f t="shared" ref="C61:E61" si="25">C59-C60</f>
        <v>66256929.200000003</v>
      </c>
      <c r="D61" s="277">
        <f t="shared" si="25"/>
        <v>69569775.659999996</v>
      </c>
      <c r="E61" s="277">
        <f t="shared" si="25"/>
        <v>73048264.443000004</v>
      </c>
    </row>
    <row r="62" spans="1:5" ht="15.75" customHeight="1" x14ac:dyDescent="0.3">
      <c r="A62" s="117" t="s">
        <v>158</v>
      </c>
      <c r="B62" s="248"/>
      <c r="C62" s="277"/>
      <c r="D62" s="280"/>
      <c r="E62" s="280"/>
    </row>
    <row r="63" spans="1:5" ht="15.75" customHeight="1" x14ac:dyDescent="0.3">
      <c r="A63" s="110">
        <v>2210104</v>
      </c>
      <c r="B63" s="248" t="s">
        <v>147</v>
      </c>
      <c r="C63" s="289">
        <v>3099777</v>
      </c>
      <c r="D63" s="280">
        <f>C63*0.05+C63</f>
        <v>3254765.85</v>
      </c>
      <c r="E63" s="280">
        <f t="shared" si="0"/>
        <v>3417504.1425000001</v>
      </c>
    </row>
    <row r="64" spans="1:5" ht="15.75" customHeight="1" x14ac:dyDescent="0.3">
      <c r="A64" s="110">
        <v>2640503</v>
      </c>
      <c r="B64" s="248" t="s">
        <v>800</v>
      </c>
      <c r="C64" s="280">
        <v>80000000</v>
      </c>
      <c r="D64" s="280">
        <f t="shared" ref="D64:D68" si="26">C64*0.05+C64</f>
        <v>84000000</v>
      </c>
      <c r="E64" s="280">
        <f t="shared" si="0"/>
        <v>88200000</v>
      </c>
    </row>
    <row r="65" spans="1:9" ht="15.75" customHeight="1" x14ac:dyDescent="0.3">
      <c r="A65" s="110">
        <v>2640599</v>
      </c>
      <c r="B65" s="248" t="s">
        <v>801</v>
      </c>
      <c r="C65" s="280">
        <v>153488888</v>
      </c>
      <c r="D65" s="280">
        <f t="shared" si="26"/>
        <v>161163332.40000001</v>
      </c>
      <c r="E65" s="280">
        <f t="shared" si="0"/>
        <v>169221499.02000001</v>
      </c>
      <c r="F65" s="10">
        <f>C65+C64</f>
        <v>233488888</v>
      </c>
      <c r="G65" s="10">
        <f t="shared" ref="G65:I65" si="27">D65+D64</f>
        <v>245163332.40000001</v>
      </c>
      <c r="H65" s="10">
        <f t="shared" si="27"/>
        <v>257421499.02000001</v>
      </c>
      <c r="I65" s="10">
        <f t="shared" si="27"/>
        <v>233488888</v>
      </c>
    </row>
    <row r="66" spans="1:9" ht="15.75" customHeight="1" x14ac:dyDescent="0.3">
      <c r="A66" s="110">
        <v>3111401</v>
      </c>
      <c r="B66" s="248" t="s">
        <v>159</v>
      </c>
      <c r="C66" s="280">
        <v>0</v>
      </c>
      <c r="D66" s="280">
        <f t="shared" si="26"/>
        <v>0</v>
      </c>
      <c r="E66" s="280">
        <f t="shared" si="0"/>
        <v>0</v>
      </c>
    </row>
    <row r="67" spans="1:9" ht="15.75" customHeight="1" x14ac:dyDescent="0.3">
      <c r="A67" s="110">
        <v>3110504</v>
      </c>
      <c r="B67" s="248" t="s">
        <v>152</v>
      </c>
      <c r="C67" s="674">
        <f>84000000+252000000</f>
        <v>336000000</v>
      </c>
      <c r="D67" s="280">
        <f t="shared" si="26"/>
        <v>352800000</v>
      </c>
      <c r="E67" s="280">
        <f t="shared" si="0"/>
        <v>370440000</v>
      </c>
    </row>
    <row r="68" spans="1:9" ht="15.75" customHeight="1" x14ac:dyDescent="0.3">
      <c r="A68" s="110">
        <v>3110599</v>
      </c>
      <c r="B68" s="248" t="s">
        <v>152</v>
      </c>
      <c r="C68" s="280">
        <v>0</v>
      </c>
      <c r="D68" s="280">
        <f t="shared" si="26"/>
        <v>0</v>
      </c>
      <c r="E68" s="280">
        <f t="shared" si="0"/>
        <v>0</v>
      </c>
    </row>
    <row r="69" spans="1:9" ht="15.75" customHeight="1" x14ac:dyDescent="0.3">
      <c r="A69" s="290"/>
      <c r="B69" s="304" t="s">
        <v>160</v>
      </c>
      <c r="C69" s="291">
        <f>C63+C64+C65+C66+C67+C68</f>
        <v>572588665</v>
      </c>
      <c r="D69" s="291">
        <f>D63+D64+D65+D66+D67+D68</f>
        <v>601218098.25</v>
      </c>
      <c r="E69" s="291">
        <f>E63+E64+E65+E66+E67+E68</f>
        <v>631279003.16250002</v>
      </c>
      <c r="F69" s="10">
        <f>C69+22000000</f>
        <v>594588665</v>
      </c>
    </row>
    <row r="70" spans="1:9" ht="15.75" customHeight="1" x14ac:dyDescent="0.3">
      <c r="A70" s="290"/>
      <c r="B70" s="705" t="s">
        <v>1277</v>
      </c>
      <c r="C70" s="291">
        <f>C61+C69</f>
        <v>638845594.20000005</v>
      </c>
      <c r="D70" s="291">
        <f>D61+D69</f>
        <v>670787873.90999997</v>
      </c>
      <c r="E70" s="291">
        <f>E61+E69</f>
        <v>704327267.60549998</v>
      </c>
    </row>
    <row r="71" spans="1:9" ht="71" customHeight="1" x14ac:dyDescent="0.3">
      <c r="A71" s="292" t="s">
        <v>0</v>
      </c>
      <c r="B71" s="305" t="s">
        <v>162</v>
      </c>
      <c r="C71" s="293" t="s">
        <v>482</v>
      </c>
      <c r="D71" s="293" t="s">
        <v>697</v>
      </c>
      <c r="E71" s="293" t="s">
        <v>796</v>
      </c>
    </row>
    <row r="72" spans="1:9" ht="15.75" customHeight="1" x14ac:dyDescent="0.3">
      <c r="A72" s="117">
        <v>2110100</v>
      </c>
      <c r="B72" s="146" t="s">
        <v>1</v>
      </c>
      <c r="C72" s="277">
        <f>C73+C74+C75</f>
        <v>43951391</v>
      </c>
      <c r="D72" s="277">
        <f>D73+D74+D75</f>
        <v>46148960.549999997</v>
      </c>
      <c r="E72" s="277">
        <f>E73+E74+E75</f>
        <v>48456408.577499993</v>
      </c>
      <c r="G72" s="10">
        <f>C72-37444946</f>
        <v>6506445</v>
      </c>
    </row>
    <row r="73" spans="1:9" ht="15.75" customHeight="1" x14ac:dyDescent="0.3">
      <c r="A73" s="110" t="s">
        <v>98</v>
      </c>
      <c r="B73" s="248" t="s">
        <v>99</v>
      </c>
      <c r="C73" s="279">
        <f>30498341+6506445</f>
        <v>37004786</v>
      </c>
      <c r="D73" s="280">
        <f>C73*0.05+C73</f>
        <v>38855025.299999997</v>
      </c>
      <c r="E73" s="280">
        <f t="shared" ref="E73:E136" si="28">1.05*D73</f>
        <v>40797776.564999998</v>
      </c>
    </row>
    <row r="74" spans="1:9" ht="15.75" customHeight="1" x14ac:dyDescent="0.3">
      <c r="A74" s="110">
        <v>2110201</v>
      </c>
      <c r="B74" s="248" t="s">
        <v>100</v>
      </c>
      <c r="C74" s="280">
        <v>2699520</v>
      </c>
      <c r="D74" s="280">
        <f>C74*0.05+C74</f>
        <v>2834496</v>
      </c>
      <c r="E74" s="280">
        <f t="shared" si="28"/>
        <v>2976220.8000000003</v>
      </c>
    </row>
    <row r="75" spans="1:9" ht="15.75" customHeight="1" x14ac:dyDescent="0.3">
      <c r="A75" s="110">
        <v>2120103</v>
      </c>
      <c r="B75" s="248" t="s">
        <v>698</v>
      </c>
      <c r="C75" s="280">
        <v>4247085</v>
      </c>
      <c r="D75" s="280">
        <f>C75*0.05+C75</f>
        <v>4459439.25</v>
      </c>
      <c r="E75" s="280">
        <f t="shared" si="28"/>
        <v>4682411.2125000004</v>
      </c>
      <c r="G75" s="786">
        <v>23286756</v>
      </c>
    </row>
    <row r="76" spans="1:9" ht="15.75" customHeight="1" x14ac:dyDescent="0.3">
      <c r="A76" s="117">
        <v>2210100</v>
      </c>
      <c r="B76" s="301" t="s">
        <v>23</v>
      </c>
      <c r="C76" s="277">
        <f>C77+C78</f>
        <v>45000</v>
      </c>
      <c r="D76" s="277">
        <f t="shared" ref="D76:E76" si="29">D77+D78</f>
        <v>47250</v>
      </c>
      <c r="E76" s="277">
        <f t="shared" si="29"/>
        <v>49612.5</v>
      </c>
      <c r="G76" s="10">
        <f>SUM(G72:G75)</f>
        <v>29793201</v>
      </c>
    </row>
    <row r="77" spans="1:9" ht="15.75" customHeight="1" x14ac:dyDescent="0.3">
      <c r="A77" s="110" t="s">
        <v>101</v>
      </c>
      <c r="B77" s="248" t="s">
        <v>102</v>
      </c>
      <c r="C77" s="294">
        <v>30000</v>
      </c>
      <c r="D77" s="280">
        <f>C77*0.05+C77</f>
        <v>31500</v>
      </c>
      <c r="E77" s="280">
        <f t="shared" si="28"/>
        <v>33075</v>
      </c>
    </row>
    <row r="78" spans="1:9" ht="15.75" customHeight="1" x14ac:dyDescent="0.3">
      <c r="A78" s="110" t="s">
        <v>103</v>
      </c>
      <c r="B78" s="248" t="s">
        <v>104</v>
      </c>
      <c r="C78" s="294">
        <v>15000</v>
      </c>
      <c r="D78" s="280">
        <f>C78*0.05+C78</f>
        <v>15750</v>
      </c>
      <c r="E78" s="280">
        <f t="shared" si="28"/>
        <v>16537.5</v>
      </c>
    </row>
    <row r="79" spans="1:9" ht="15.75" customHeight="1" x14ac:dyDescent="0.3">
      <c r="A79" s="117">
        <v>2210200</v>
      </c>
      <c r="B79" s="301" t="s">
        <v>26</v>
      </c>
      <c r="C79" s="277">
        <f>C80+C81+C82</f>
        <v>640000</v>
      </c>
      <c r="D79" s="277">
        <f t="shared" ref="D79:E79" si="30">D80+D81+D82</f>
        <v>672000</v>
      </c>
      <c r="E79" s="277">
        <f t="shared" si="30"/>
        <v>705600</v>
      </c>
    </row>
    <row r="80" spans="1:9" ht="15.75" customHeight="1" x14ac:dyDescent="0.3">
      <c r="A80" s="110" t="s">
        <v>105</v>
      </c>
      <c r="B80" s="248" t="s">
        <v>106</v>
      </c>
      <c r="C80" s="294">
        <v>400000</v>
      </c>
      <c r="D80" s="280">
        <f>C80*0.05+C80</f>
        <v>420000</v>
      </c>
      <c r="E80" s="280">
        <f t="shared" si="28"/>
        <v>441000</v>
      </c>
    </row>
    <row r="81" spans="1:6" ht="15.75" customHeight="1" x14ac:dyDescent="0.3">
      <c r="A81" s="110" t="s">
        <v>107</v>
      </c>
      <c r="B81" s="248" t="s">
        <v>108</v>
      </c>
      <c r="C81" s="294">
        <v>120000</v>
      </c>
      <c r="D81" s="280">
        <f t="shared" ref="D81:D82" si="31">C81*0.05+C81</f>
        <v>126000</v>
      </c>
      <c r="E81" s="280">
        <f t="shared" si="28"/>
        <v>132300</v>
      </c>
    </row>
    <row r="82" spans="1:6" ht="15.75" customHeight="1" x14ac:dyDescent="0.3">
      <c r="A82" s="110" t="s">
        <v>109</v>
      </c>
      <c r="B82" s="248" t="s">
        <v>29</v>
      </c>
      <c r="C82" s="294">
        <v>120000</v>
      </c>
      <c r="D82" s="280">
        <f t="shared" si="31"/>
        <v>126000</v>
      </c>
      <c r="E82" s="280">
        <f t="shared" si="28"/>
        <v>132300</v>
      </c>
    </row>
    <row r="83" spans="1:6" ht="15.75" customHeight="1" x14ac:dyDescent="0.3">
      <c r="A83" s="117">
        <v>2210300</v>
      </c>
      <c r="B83" s="146" t="s">
        <v>30</v>
      </c>
      <c r="C83" s="277">
        <f>C84+C85+C86+C87+C88</f>
        <v>2509600</v>
      </c>
      <c r="D83" s="277">
        <f>D84+D85+D86+D87+D88</f>
        <v>2635080</v>
      </c>
      <c r="E83" s="277">
        <f t="shared" ref="E83" si="32">E84+E85+E86+E87+E88</f>
        <v>2766834</v>
      </c>
    </row>
    <row r="84" spans="1:6" ht="15.75" customHeight="1" x14ac:dyDescent="0.3">
      <c r="A84" s="110" t="s">
        <v>110</v>
      </c>
      <c r="B84" s="248" t="s">
        <v>111</v>
      </c>
      <c r="C84" s="294">
        <v>972000</v>
      </c>
      <c r="D84" s="280">
        <f>C84*0.05+C84</f>
        <v>1020600</v>
      </c>
      <c r="E84" s="280">
        <f t="shared" si="28"/>
        <v>1071630</v>
      </c>
    </row>
    <row r="85" spans="1:6" ht="15.75" customHeight="1" x14ac:dyDescent="0.3">
      <c r="A85" s="110" t="s">
        <v>112</v>
      </c>
      <c r="B85" s="306" t="s">
        <v>113</v>
      </c>
      <c r="C85" s="294">
        <v>537600</v>
      </c>
      <c r="D85" s="280">
        <f t="shared" ref="D85:D88" si="33">C85*0.05+C85</f>
        <v>564480</v>
      </c>
      <c r="E85" s="280">
        <f t="shared" si="28"/>
        <v>592704</v>
      </c>
    </row>
    <row r="86" spans="1:6" ht="15.75" customHeight="1" x14ac:dyDescent="0.3">
      <c r="A86" s="110" t="s">
        <v>114</v>
      </c>
      <c r="B86" s="248" t="s">
        <v>115</v>
      </c>
      <c r="C86" s="294">
        <v>0</v>
      </c>
      <c r="D86" s="280">
        <f t="shared" si="33"/>
        <v>0</v>
      </c>
      <c r="E86" s="280">
        <f t="shared" si="28"/>
        <v>0</v>
      </c>
    </row>
    <row r="87" spans="1:6" ht="15.75" customHeight="1" x14ac:dyDescent="0.3">
      <c r="A87" s="110">
        <v>2210310</v>
      </c>
      <c r="B87" s="248" t="s">
        <v>163</v>
      </c>
      <c r="C87" s="295">
        <v>500000</v>
      </c>
      <c r="D87" s="280">
        <f t="shared" si="33"/>
        <v>525000</v>
      </c>
      <c r="E87" s="280">
        <f t="shared" si="28"/>
        <v>551250</v>
      </c>
    </row>
    <row r="88" spans="1:6" ht="15.75" customHeight="1" x14ac:dyDescent="0.3">
      <c r="A88" s="110" t="s">
        <v>33</v>
      </c>
      <c r="B88" s="248" t="s">
        <v>116</v>
      </c>
      <c r="C88" s="295">
        <v>500000</v>
      </c>
      <c r="D88" s="280">
        <f t="shared" si="33"/>
        <v>525000</v>
      </c>
      <c r="E88" s="280">
        <f t="shared" si="28"/>
        <v>551250</v>
      </c>
      <c r="F88" s="296"/>
    </row>
    <row r="89" spans="1:6" ht="15.75" customHeight="1" x14ac:dyDescent="0.3">
      <c r="A89" s="114" t="s">
        <v>117</v>
      </c>
      <c r="B89" s="297" t="s">
        <v>118</v>
      </c>
      <c r="C89" s="277">
        <f>C90+C91</f>
        <v>0</v>
      </c>
      <c r="D89" s="277">
        <f t="shared" ref="D89" si="34">D90+D91</f>
        <v>0</v>
      </c>
      <c r="E89" s="280">
        <f t="shared" si="28"/>
        <v>0</v>
      </c>
    </row>
    <row r="90" spans="1:6" ht="15.75" customHeight="1" x14ac:dyDescent="0.3">
      <c r="A90" s="283" t="s">
        <v>119</v>
      </c>
      <c r="B90" s="302" t="s">
        <v>120</v>
      </c>
      <c r="C90" s="280">
        <v>0</v>
      </c>
      <c r="D90" s="280">
        <f>C90*0.05+C90</f>
        <v>0</v>
      </c>
      <c r="E90" s="280">
        <f t="shared" si="28"/>
        <v>0</v>
      </c>
    </row>
    <row r="91" spans="1:6" ht="15.65" x14ac:dyDescent="0.3">
      <c r="A91" s="283" t="s">
        <v>121</v>
      </c>
      <c r="B91" s="302" t="s">
        <v>115</v>
      </c>
      <c r="C91" s="280">
        <v>0</v>
      </c>
      <c r="D91" s="280">
        <f>C91*0.05+C91</f>
        <v>0</v>
      </c>
      <c r="E91" s="280">
        <f t="shared" si="28"/>
        <v>0</v>
      </c>
    </row>
    <row r="92" spans="1:6" ht="15.65" x14ac:dyDescent="0.3">
      <c r="A92" s="117">
        <v>2210500</v>
      </c>
      <c r="B92" s="146" t="s">
        <v>38</v>
      </c>
      <c r="C92" s="277">
        <f>C93+C94</f>
        <v>536211</v>
      </c>
      <c r="D92" s="277">
        <f t="shared" ref="D92:E92" si="35">D93+D94</f>
        <v>563021.55000000005</v>
      </c>
      <c r="E92" s="277">
        <f t="shared" si="35"/>
        <v>591172.62749999994</v>
      </c>
    </row>
    <row r="93" spans="1:6" ht="15.65" x14ac:dyDescent="0.3">
      <c r="A93" s="110" t="s">
        <v>122</v>
      </c>
      <c r="B93" s="248" t="s">
        <v>123</v>
      </c>
      <c r="C93" s="294">
        <v>36211</v>
      </c>
      <c r="D93" s="280">
        <f>C93*0.05+C93</f>
        <v>38021.550000000003</v>
      </c>
      <c r="E93" s="280">
        <f t="shared" si="28"/>
        <v>39922.627500000002</v>
      </c>
    </row>
    <row r="94" spans="1:6" ht="15.65" x14ac:dyDescent="0.3">
      <c r="A94" s="110" t="s">
        <v>124</v>
      </c>
      <c r="B94" s="248" t="s">
        <v>125</v>
      </c>
      <c r="C94" s="294">
        <v>500000</v>
      </c>
      <c r="D94" s="280">
        <f>C94*0.05+C94</f>
        <v>525000</v>
      </c>
      <c r="E94" s="280">
        <f t="shared" si="28"/>
        <v>551250</v>
      </c>
    </row>
    <row r="95" spans="1:6" ht="15.65" x14ac:dyDescent="0.3">
      <c r="A95" s="117">
        <v>2210700</v>
      </c>
      <c r="B95" s="146" t="s">
        <v>45</v>
      </c>
      <c r="C95" s="277">
        <f>C96+C97+C98</f>
        <v>0</v>
      </c>
      <c r="D95" s="277">
        <f t="shared" ref="D95:E95" si="36">D96+D97+D98</f>
        <v>0</v>
      </c>
      <c r="E95" s="277">
        <f t="shared" si="36"/>
        <v>0</v>
      </c>
    </row>
    <row r="96" spans="1:6" s="7" customFormat="1" ht="15.65" x14ac:dyDescent="0.3">
      <c r="A96" s="70">
        <v>2210701</v>
      </c>
      <c r="B96" s="148" t="s">
        <v>164</v>
      </c>
      <c r="C96" s="295"/>
      <c r="D96" s="281">
        <f>C96*0.05+C96</f>
        <v>0</v>
      </c>
      <c r="E96" s="281">
        <f t="shared" si="28"/>
        <v>0</v>
      </c>
    </row>
    <row r="97" spans="1:5" ht="15.65" x14ac:dyDescent="0.3">
      <c r="A97" s="110" t="s">
        <v>127</v>
      </c>
      <c r="B97" s="248" t="s">
        <v>128</v>
      </c>
      <c r="C97" s="295"/>
      <c r="D97" s="280">
        <f t="shared" ref="D97:D98" si="37">C97*0.05+C97</f>
        <v>0</v>
      </c>
      <c r="E97" s="280">
        <f t="shared" si="28"/>
        <v>0</v>
      </c>
    </row>
    <row r="98" spans="1:5" ht="15.65" x14ac:dyDescent="0.3">
      <c r="A98" s="110" t="s">
        <v>129</v>
      </c>
      <c r="B98" s="248" t="s">
        <v>130</v>
      </c>
      <c r="C98" s="295"/>
      <c r="D98" s="280">
        <f t="shared" si="37"/>
        <v>0</v>
      </c>
      <c r="E98" s="280">
        <f t="shared" si="28"/>
        <v>0</v>
      </c>
    </row>
    <row r="99" spans="1:5" ht="15.65" x14ac:dyDescent="0.3">
      <c r="A99" s="117">
        <v>2210800</v>
      </c>
      <c r="B99" s="146" t="s">
        <v>48</v>
      </c>
      <c r="C99" s="277">
        <f>C100+C101+C102</f>
        <v>1800000</v>
      </c>
      <c r="D99" s="277">
        <f t="shared" ref="D99:E99" si="38">D100+D101+D102</f>
        <v>1890000</v>
      </c>
      <c r="E99" s="277">
        <f t="shared" si="38"/>
        <v>1984500</v>
      </c>
    </row>
    <row r="100" spans="1:5" ht="15.65" x14ac:dyDescent="0.3">
      <c r="A100" s="110" t="s">
        <v>131</v>
      </c>
      <c r="B100" s="248" t="s">
        <v>132</v>
      </c>
      <c r="C100" s="294">
        <v>500000</v>
      </c>
      <c r="D100" s="280">
        <f>C100*0.05+C100</f>
        <v>525000</v>
      </c>
      <c r="E100" s="280">
        <f t="shared" si="28"/>
        <v>551250</v>
      </c>
    </row>
    <row r="101" spans="1:5" ht="15.65" x14ac:dyDescent="0.3">
      <c r="A101" s="110">
        <v>2210805</v>
      </c>
      <c r="B101" s="248" t="s">
        <v>165</v>
      </c>
      <c r="C101" s="294">
        <v>0</v>
      </c>
      <c r="D101" s="280">
        <f t="shared" ref="D101:D102" si="39">C101*0.05+C101</f>
        <v>0</v>
      </c>
      <c r="E101" s="280">
        <f t="shared" si="28"/>
        <v>0</v>
      </c>
    </row>
    <row r="102" spans="1:5" ht="15.65" x14ac:dyDescent="0.3">
      <c r="A102" s="110" t="s">
        <v>133</v>
      </c>
      <c r="B102" s="248" t="s">
        <v>134</v>
      </c>
      <c r="C102" s="294">
        <v>1300000</v>
      </c>
      <c r="D102" s="280">
        <f t="shared" si="39"/>
        <v>1365000</v>
      </c>
      <c r="E102" s="280">
        <f t="shared" si="28"/>
        <v>1433250</v>
      </c>
    </row>
    <row r="103" spans="1:5" ht="15.65" x14ac:dyDescent="0.3">
      <c r="A103" s="114">
        <v>2210900</v>
      </c>
      <c r="B103" s="297" t="s">
        <v>136</v>
      </c>
      <c r="C103" s="277">
        <f>C104</f>
        <v>1400000</v>
      </c>
      <c r="D103" s="277">
        <f t="shared" ref="D103:E103" si="40">D104</f>
        <v>1470000</v>
      </c>
      <c r="E103" s="277">
        <f t="shared" si="40"/>
        <v>1543500</v>
      </c>
    </row>
    <row r="104" spans="1:5" ht="15.65" x14ac:dyDescent="0.3">
      <c r="A104" s="110" t="s">
        <v>166</v>
      </c>
      <c r="B104" s="248" t="s">
        <v>167</v>
      </c>
      <c r="C104" s="294">
        <v>1400000</v>
      </c>
      <c r="D104" s="280">
        <f>C104*0.05+C104</f>
        <v>1470000</v>
      </c>
      <c r="E104" s="280">
        <f t="shared" si="28"/>
        <v>1543500</v>
      </c>
    </row>
    <row r="105" spans="1:5" ht="15.65" x14ac:dyDescent="0.3">
      <c r="A105" s="117">
        <v>2211100</v>
      </c>
      <c r="B105" s="146" t="s">
        <v>56</v>
      </c>
      <c r="C105" s="277">
        <f>C106+C107</f>
        <v>722240</v>
      </c>
      <c r="D105" s="277">
        <f t="shared" ref="D105:E105" si="41">D106+D107</f>
        <v>758352</v>
      </c>
      <c r="E105" s="277">
        <f t="shared" si="41"/>
        <v>796269.6</v>
      </c>
    </row>
    <row r="106" spans="1:5" ht="15.65" x14ac:dyDescent="0.3">
      <c r="A106" s="110" t="s">
        <v>138</v>
      </c>
      <c r="B106" s="248" t="s">
        <v>139</v>
      </c>
      <c r="C106" s="294">
        <v>680000</v>
      </c>
      <c r="D106" s="280">
        <f>C106*0.05+C106</f>
        <v>714000</v>
      </c>
      <c r="E106" s="280">
        <f t="shared" si="28"/>
        <v>749700</v>
      </c>
    </row>
    <row r="107" spans="1:5" ht="15.65" x14ac:dyDescent="0.3">
      <c r="A107" s="110" t="s">
        <v>140</v>
      </c>
      <c r="B107" s="248" t="s">
        <v>141</v>
      </c>
      <c r="C107" s="294">
        <v>42240</v>
      </c>
      <c r="D107" s="280">
        <f>C107*0.05+C107</f>
        <v>44352</v>
      </c>
      <c r="E107" s="280">
        <f t="shared" si="28"/>
        <v>46569.599999999999</v>
      </c>
    </row>
    <row r="108" spans="1:5" ht="15.65" x14ac:dyDescent="0.3">
      <c r="A108" s="117">
        <v>2211200</v>
      </c>
      <c r="B108" s="146" t="s">
        <v>60</v>
      </c>
      <c r="C108" s="277">
        <f>C109</f>
        <v>2000000</v>
      </c>
      <c r="D108" s="277">
        <f t="shared" ref="D108:E108" si="42">D109</f>
        <v>2100000</v>
      </c>
      <c r="E108" s="277">
        <f t="shared" si="42"/>
        <v>2205000</v>
      </c>
    </row>
    <row r="109" spans="1:5" s="7" customFormat="1" ht="15.65" x14ac:dyDescent="0.3">
      <c r="A109" s="99" t="s">
        <v>142</v>
      </c>
      <c r="B109" s="307" t="s">
        <v>143</v>
      </c>
      <c r="C109" s="295">
        <v>2000000</v>
      </c>
      <c r="D109" s="281">
        <f>C109*0.05+C109</f>
        <v>2100000</v>
      </c>
      <c r="E109" s="281">
        <f t="shared" si="28"/>
        <v>2205000</v>
      </c>
    </row>
    <row r="110" spans="1:5" ht="15.65" x14ac:dyDescent="0.3">
      <c r="A110" s="117">
        <v>2211300</v>
      </c>
      <c r="B110" s="146" t="s">
        <v>62</v>
      </c>
      <c r="C110" s="277">
        <f>C111+C112+C113</f>
        <v>120000</v>
      </c>
      <c r="D110" s="277">
        <f t="shared" ref="D110:E110" si="43">D111+D112+D113</f>
        <v>126000</v>
      </c>
      <c r="E110" s="277">
        <f t="shared" si="43"/>
        <v>132300</v>
      </c>
    </row>
    <row r="111" spans="1:5" ht="15.65" x14ac:dyDescent="0.3">
      <c r="A111" s="110" t="s">
        <v>144</v>
      </c>
      <c r="B111" s="248" t="s">
        <v>64</v>
      </c>
      <c r="C111" s="280">
        <v>0</v>
      </c>
      <c r="D111" s="280">
        <f>C111*0.05+C111</f>
        <v>0</v>
      </c>
      <c r="E111" s="280">
        <f t="shared" si="28"/>
        <v>0</v>
      </c>
    </row>
    <row r="112" spans="1:5" ht="15.65" x14ac:dyDescent="0.3">
      <c r="A112" s="110" t="s">
        <v>145</v>
      </c>
      <c r="B112" s="248" t="s">
        <v>146</v>
      </c>
      <c r="C112" s="294">
        <v>120000</v>
      </c>
      <c r="D112" s="280">
        <f t="shared" ref="D112:D113" si="44">C112*0.05+C112</f>
        <v>126000</v>
      </c>
      <c r="E112" s="280">
        <f t="shared" si="28"/>
        <v>132300</v>
      </c>
    </row>
    <row r="113" spans="1:5" ht="15.65" x14ac:dyDescent="0.3">
      <c r="A113" s="110">
        <v>2210104</v>
      </c>
      <c r="B113" s="248" t="s">
        <v>147</v>
      </c>
      <c r="C113" s="280">
        <v>0</v>
      </c>
      <c r="D113" s="280">
        <f t="shared" si="44"/>
        <v>0</v>
      </c>
      <c r="E113" s="280">
        <f t="shared" si="28"/>
        <v>0</v>
      </c>
    </row>
    <row r="114" spans="1:5" ht="15.65" x14ac:dyDescent="0.3">
      <c r="A114" s="117">
        <v>2220100</v>
      </c>
      <c r="B114" s="146" t="s">
        <v>71</v>
      </c>
      <c r="C114" s="277">
        <f>C115</f>
        <v>1500000</v>
      </c>
      <c r="D114" s="277">
        <f t="shared" ref="D114:E114" si="45">D115</f>
        <v>1575000</v>
      </c>
      <c r="E114" s="277">
        <f t="shared" si="45"/>
        <v>1653750</v>
      </c>
    </row>
    <row r="115" spans="1:5" ht="15.65" x14ac:dyDescent="0.3">
      <c r="A115" s="110" t="s">
        <v>148</v>
      </c>
      <c r="B115" s="248" t="s">
        <v>72</v>
      </c>
      <c r="C115" s="295">
        <v>1500000</v>
      </c>
      <c r="D115" s="280">
        <f>C115*0.05+C115</f>
        <v>1575000</v>
      </c>
      <c r="E115" s="280">
        <f t="shared" si="28"/>
        <v>1653750</v>
      </c>
    </row>
    <row r="116" spans="1:5" ht="16.75" customHeight="1" x14ac:dyDescent="0.3">
      <c r="A116" s="114">
        <v>2220200</v>
      </c>
      <c r="B116" s="248" t="s">
        <v>73</v>
      </c>
      <c r="C116" s="277">
        <f>C117+C118</f>
        <v>540000</v>
      </c>
      <c r="D116" s="277">
        <f>D117+D118</f>
        <v>567000</v>
      </c>
      <c r="E116" s="277">
        <f>E117+E118</f>
        <v>595350</v>
      </c>
    </row>
    <row r="117" spans="1:5" ht="12.65" customHeight="1" x14ac:dyDescent="0.3">
      <c r="A117" s="110">
        <v>2220202</v>
      </c>
      <c r="B117" s="248" t="s">
        <v>149</v>
      </c>
      <c r="C117" s="294">
        <v>40000</v>
      </c>
      <c r="D117" s="280">
        <f>C117*0.05+C117</f>
        <v>42000</v>
      </c>
      <c r="E117" s="280">
        <f t="shared" si="28"/>
        <v>44100</v>
      </c>
    </row>
    <row r="118" spans="1:5" ht="15.65" customHeight="1" x14ac:dyDescent="0.3">
      <c r="A118" s="110">
        <v>2220206</v>
      </c>
      <c r="B118" s="248" t="s">
        <v>168</v>
      </c>
      <c r="C118" s="295">
        <v>500000</v>
      </c>
      <c r="D118" s="280">
        <f t="shared" ref="D118:D121" si="46">C118*0.05+C118</f>
        <v>525000</v>
      </c>
      <c r="E118" s="280">
        <f t="shared" si="28"/>
        <v>551250</v>
      </c>
    </row>
    <row r="119" spans="1:5" ht="16" customHeight="1" x14ac:dyDescent="0.3">
      <c r="A119" s="114">
        <v>3111000</v>
      </c>
      <c r="B119" s="297" t="s">
        <v>82</v>
      </c>
      <c r="C119" s="288">
        <f>C120+C121</f>
        <v>493555</v>
      </c>
      <c r="D119" s="277">
        <f t="shared" si="46"/>
        <v>518232.75</v>
      </c>
      <c r="E119" s="277">
        <f t="shared" si="28"/>
        <v>544144.38750000007</v>
      </c>
    </row>
    <row r="120" spans="1:5" ht="16" customHeight="1" x14ac:dyDescent="0.3">
      <c r="A120" s="110" t="s">
        <v>153</v>
      </c>
      <c r="B120" s="89" t="s">
        <v>83</v>
      </c>
      <c r="C120" s="286">
        <f>-6445+500000</f>
        <v>493555</v>
      </c>
      <c r="D120" s="280">
        <f t="shared" si="46"/>
        <v>518232.75</v>
      </c>
      <c r="E120" s="280">
        <f t="shared" si="28"/>
        <v>544144.38750000007</v>
      </c>
    </row>
    <row r="121" spans="1:5" ht="16" customHeight="1" x14ac:dyDescent="0.3">
      <c r="A121" s="298">
        <v>3111002</v>
      </c>
      <c r="B121" s="248" t="s">
        <v>154</v>
      </c>
      <c r="C121" s="279">
        <f>-1500000+1500000</f>
        <v>0</v>
      </c>
      <c r="D121" s="280">
        <f t="shared" si="46"/>
        <v>0</v>
      </c>
      <c r="E121" s="280">
        <f t="shared" si="28"/>
        <v>0</v>
      </c>
    </row>
    <row r="122" spans="1:5" ht="16" customHeight="1" x14ac:dyDescent="0.3">
      <c r="A122" s="110">
        <v>3111400</v>
      </c>
      <c r="B122" s="248" t="s">
        <v>169</v>
      </c>
      <c r="C122" s="277">
        <f>C123+C124+C125</f>
        <v>20000000</v>
      </c>
      <c r="D122" s="277">
        <f t="shared" ref="D122:E122" si="47">D123+D124+D125</f>
        <v>21000000</v>
      </c>
      <c r="E122" s="277">
        <f t="shared" si="47"/>
        <v>22050000</v>
      </c>
    </row>
    <row r="123" spans="1:5" ht="16" customHeight="1" x14ac:dyDescent="0.3">
      <c r="A123" s="110">
        <v>3111401</v>
      </c>
      <c r="B123" s="146" t="s">
        <v>170</v>
      </c>
      <c r="C123" s="299">
        <f>25000000-5000000</f>
        <v>20000000</v>
      </c>
      <c r="D123" s="280">
        <f>C123*0.05+C123</f>
        <v>21000000</v>
      </c>
      <c r="E123" s="280">
        <f t="shared" si="28"/>
        <v>22050000</v>
      </c>
    </row>
    <row r="124" spans="1:5" ht="16" customHeight="1" x14ac:dyDescent="0.3">
      <c r="A124" s="298">
        <v>3111499</v>
      </c>
      <c r="B124" s="307" t="s">
        <v>171</v>
      </c>
      <c r="C124" s="295">
        <f>2400000-2400000</f>
        <v>0</v>
      </c>
      <c r="D124" s="280">
        <f t="shared" ref="D124:D125" si="48">C124*0.05+C124</f>
        <v>0</v>
      </c>
      <c r="E124" s="280">
        <f t="shared" si="28"/>
        <v>0</v>
      </c>
    </row>
    <row r="125" spans="1:5" ht="16" customHeight="1" x14ac:dyDescent="0.3">
      <c r="A125" s="99">
        <v>3111402</v>
      </c>
      <c r="B125" s="146" t="s">
        <v>172</v>
      </c>
      <c r="C125" s="295">
        <v>0</v>
      </c>
      <c r="D125" s="280">
        <f t="shared" si="48"/>
        <v>0</v>
      </c>
      <c r="E125" s="280">
        <f t="shared" si="28"/>
        <v>0</v>
      </c>
    </row>
    <row r="126" spans="1:5" ht="16" customHeight="1" x14ac:dyDescent="0.3">
      <c r="A126" s="298"/>
      <c r="B126" s="297" t="s">
        <v>156</v>
      </c>
      <c r="C126" s="277">
        <f>C72+C76+C79+C83+C89+C92+C95+C99+C103+C105+C108+C110+C114+C116+C119+C122</f>
        <v>76257997</v>
      </c>
      <c r="D126" s="277">
        <f>D72+D76+D79+D83+D89+D92+D95+D99+D103+D105+D108+D110+D114+D116+D122</f>
        <v>79552664.099999994</v>
      </c>
      <c r="E126" s="277">
        <f>E72+E76+E79+E83+E89+E92+E95+E99+E103+E105+E108+E110+E114+E116+E122</f>
        <v>83530297.304999992</v>
      </c>
    </row>
    <row r="127" spans="1:5" ht="16" customHeight="1" x14ac:dyDescent="0.3">
      <c r="A127" s="110"/>
      <c r="B127" s="297" t="s">
        <v>157</v>
      </c>
      <c r="C127" s="280">
        <v>0</v>
      </c>
      <c r="D127" s="280">
        <f>-C127*0.05+C127</f>
        <v>0</v>
      </c>
      <c r="E127" s="280">
        <f t="shared" si="28"/>
        <v>0</v>
      </c>
    </row>
    <row r="128" spans="1:5" ht="16" customHeight="1" x14ac:dyDescent="0.3">
      <c r="A128" s="110"/>
      <c r="B128" s="297" t="s">
        <v>89</v>
      </c>
      <c r="C128" s="277">
        <f t="shared" ref="C128:E128" si="49">C126-C127</f>
        <v>76257997</v>
      </c>
      <c r="D128" s="277">
        <f t="shared" si="49"/>
        <v>79552664.099999994</v>
      </c>
      <c r="E128" s="277">
        <f t="shared" si="49"/>
        <v>83530297.304999992</v>
      </c>
    </row>
    <row r="129" spans="1:5" ht="16" customHeight="1" x14ac:dyDescent="0.3">
      <c r="A129" s="110"/>
      <c r="B129" s="146" t="s">
        <v>480</v>
      </c>
      <c r="C129" s="280"/>
      <c r="D129" s="280"/>
      <c r="E129" s="280"/>
    </row>
    <row r="130" spans="1:5" ht="16" customHeight="1" x14ac:dyDescent="0.3">
      <c r="A130" s="298">
        <v>2211006</v>
      </c>
      <c r="B130" s="248" t="s">
        <v>173</v>
      </c>
      <c r="C130" s="289">
        <f>-1109875.65+22197513</f>
        <v>21087637.350000001</v>
      </c>
      <c r="D130" s="280">
        <f>C130*0.05+C130</f>
        <v>22142019.217500001</v>
      </c>
      <c r="E130" s="280">
        <f t="shared" si="28"/>
        <v>23249120.178375002</v>
      </c>
    </row>
    <row r="131" spans="1:5" ht="16" customHeight="1" x14ac:dyDescent="0.3">
      <c r="A131" s="298">
        <v>2410104</v>
      </c>
      <c r="B131" s="248" t="s">
        <v>147</v>
      </c>
      <c r="C131" s="289">
        <f>21404104/2</f>
        <v>10702052</v>
      </c>
      <c r="D131" s="280">
        <f>C131*0.05+C131</f>
        <v>11237154.6</v>
      </c>
      <c r="E131" s="280">
        <f t="shared" si="28"/>
        <v>11799012.33</v>
      </c>
    </row>
    <row r="132" spans="1:5" ht="16" customHeight="1" x14ac:dyDescent="0.3">
      <c r="A132" s="298">
        <v>2640503</v>
      </c>
      <c r="B132" s="248" t="s">
        <v>802</v>
      </c>
      <c r="C132" s="281">
        <v>500000000</v>
      </c>
      <c r="D132" s="280">
        <f>C132*0.05+C132</f>
        <v>525000000</v>
      </c>
      <c r="E132" s="280">
        <f t="shared" si="28"/>
        <v>551250000</v>
      </c>
    </row>
    <row r="133" spans="1:5" ht="16" customHeight="1" x14ac:dyDescent="0.3">
      <c r="A133" s="110">
        <v>3110602</v>
      </c>
      <c r="B133" s="248" t="s">
        <v>174</v>
      </c>
      <c r="C133" s="280"/>
      <c r="D133" s="280">
        <f t="shared" ref="D133:D139" si="50">C133*0.05+C133</f>
        <v>0</v>
      </c>
      <c r="E133" s="280">
        <f t="shared" si="28"/>
        <v>0</v>
      </c>
    </row>
    <row r="134" spans="1:5" ht="16" customHeight="1" x14ac:dyDescent="0.3">
      <c r="A134" s="110">
        <v>3110604</v>
      </c>
      <c r="B134" s="297" t="s">
        <v>175</v>
      </c>
      <c r="C134" s="280">
        <f>50000000-50000000</f>
        <v>0</v>
      </c>
      <c r="D134" s="280">
        <f t="shared" si="50"/>
        <v>0</v>
      </c>
      <c r="E134" s="280">
        <f t="shared" si="28"/>
        <v>0</v>
      </c>
    </row>
    <row r="135" spans="1:5" ht="16" customHeight="1" x14ac:dyDescent="0.3">
      <c r="A135" s="114"/>
      <c r="B135" s="297" t="s">
        <v>699</v>
      </c>
      <c r="C135" s="280"/>
      <c r="D135" s="280">
        <f t="shared" si="50"/>
        <v>0</v>
      </c>
      <c r="E135" s="280"/>
    </row>
    <row r="136" spans="1:5" ht="16" customHeight="1" x14ac:dyDescent="0.3">
      <c r="A136" s="110">
        <v>3110599</v>
      </c>
      <c r="B136" s="248" t="s">
        <v>176</v>
      </c>
      <c r="C136" s="281">
        <v>0</v>
      </c>
      <c r="D136" s="280">
        <f t="shared" si="50"/>
        <v>0</v>
      </c>
      <c r="E136" s="280">
        <f t="shared" si="28"/>
        <v>0</v>
      </c>
    </row>
    <row r="137" spans="1:5" ht="16" customHeight="1" x14ac:dyDescent="0.3">
      <c r="A137" s="110">
        <v>3111500</v>
      </c>
      <c r="B137" s="248" t="s">
        <v>177</v>
      </c>
      <c r="C137" s="280">
        <f>26097552-26097552</f>
        <v>0</v>
      </c>
      <c r="D137" s="280">
        <f t="shared" si="50"/>
        <v>0</v>
      </c>
      <c r="E137" s="280">
        <f t="shared" ref="E137:E139" si="51">1.05*D137</f>
        <v>0</v>
      </c>
    </row>
    <row r="138" spans="1:5" ht="16" customHeight="1" x14ac:dyDescent="0.3">
      <c r="A138" s="298">
        <v>3110502</v>
      </c>
      <c r="B138" s="146" t="s">
        <v>178</v>
      </c>
      <c r="C138" s="280">
        <v>0</v>
      </c>
      <c r="D138" s="280">
        <f t="shared" si="50"/>
        <v>0</v>
      </c>
      <c r="E138" s="280">
        <f t="shared" si="51"/>
        <v>0</v>
      </c>
    </row>
    <row r="139" spans="1:5" ht="16" customHeight="1" x14ac:dyDescent="0.3">
      <c r="A139" s="99" t="s">
        <v>179</v>
      </c>
      <c r="B139" s="307" t="s">
        <v>180</v>
      </c>
      <c r="C139" s="281">
        <v>0</v>
      </c>
      <c r="D139" s="280">
        <f t="shared" si="50"/>
        <v>0</v>
      </c>
      <c r="E139" s="280">
        <f t="shared" si="51"/>
        <v>0</v>
      </c>
    </row>
    <row r="140" spans="1:5" ht="16" customHeight="1" x14ac:dyDescent="0.3">
      <c r="A140" s="290"/>
      <c r="B140" s="304" t="s">
        <v>160</v>
      </c>
      <c r="C140" s="291">
        <f>SUM(C130:C139)</f>
        <v>531789689.35000002</v>
      </c>
      <c r="D140" s="291">
        <f>SUM(D130:D139)</f>
        <v>558379173.8175</v>
      </c>
      <c r="E140" s="291">
        <f>SUM(E130:E139)</f>
        <v>586298132.50837505</v>
      </c>
    </row>
    <row r="141" spans="1:5" ht="16" customHeight="1" x14ac:dyDescent="0.3">
      <c r="A141" s="290"/>
      <c r="B141" s="304" t="s">
        <v>161</v>
      </c>
      <c r="C141" s="291">
        <f>C126+C140</f>
        <v>608047686.35000002</v>
      </c>
      <c r="D141" s="291">
        <f>D126+D140</f>
        <v>637931837.91750002</v>
      </c>
      <c r="E141" s="291">
        <f>E126+E140</f>
        <v>669828429.813375</v>
      </c>
    </row>
    <row r="142" spans="1:5" ht="16" customHeight="1" x14ac:dyDescent="0.35">
      <c r="A142" s="6"/>
      <c r="B142" s="728" t="s">
        <v>1277</v>
      </c>
      <c r="C142" s="729">
        <f>C141+C70</f>
        <v>1246893280.5500002</v>
      </c>
      <c r="D142" s="729">
        <f t="shared" ref="D142:E142" si="52">D141+D70</f>
        <v>1308719711.8274999</v>
      </c>
      <c r="E142" s="729">
        <f t="shared" si="52"/>
        <v>1374155697.418875</v>
      </c>
    </row>
    <row r="143" spans="1:5" ht="16.25" x14ac:dyDescent="0.35">
      <c r="A143" s="6"/>
      <c r="B143" s="728" t="s">
        <v>1193</v>
      </c>
      <c r="C143" s="729">
        <f>'Local Rev.'!D27</f>
        <v>25610264.332768999</v>
      </c>
      <c r="D143" s="730">
        <f t="shared" ref="D143" si="53">C143*0.05+C143</f>
        <v>26890777.549407449</v>
      </c>
      <c r="E143" s="730">
        <f t="shared" ref="E143" si="54">1.05*D143</f>
        <v>28235316.426877823</v>
      </c>
    </row>
    <row r="144" spans="1:5" ht="16.25" x14ac:dyDescent="0.35">
      <c r="A144" s="6"/>
      <c r="B144" s="728" t="s">
        <v>1278</v>
      </c>
      <c r="C144" s="729">
        <f>C142-C143</f>
        <v>1221283016.2172313</v>
      </c>
      <c r="D144" s="729">
        <f t="shared" ref="D144:E144" si="55">D142-D143</f>
        <v>1281828934.2780924</v>
      </c>
      <c r="E144" s="729">
        <f t="shared" si="55"/>
        <v>1345920380.9919972</v>
      </c>
    </row>
    <row r="145" spans="1:5" ht="15.65" x14ac:dyDescent="0.3">
      <c r="A145" s="6"/>
    </row>
    <row r="146" spans="1:5" ht="15.65" x14ac:dyDescent="0.3">
      <c r="A146" s="6"/>
    </row>
    <row r="147" spans="1:5" ht="15.65" x14ac:dyDescent="0.3">
      <c r="A147" s="6"/>
    </row>
    <row r="148" spans="1:5" ht="15.65" x14ac:dyDescent="0.3">
      <c r="A148" s="6"/>
    </row>
    <row r="151" spans="1:5" ht="15.65" x14ac:dyDescent="0.3">
      <c r="C151" s="10"/>
      <c r="D151" s="10"/>
      <c r="E151" s="10"/>
    </row>
  </sheetData>
  <protectedRanges>
    <protectedRange password="C43E" sqref="A3:B3" name="Range1_9_1_1_3_1_1_1_2_1_2"/>
    <protectedRange password="C43E" sqref="A5:B7" name="Range1_1_1_1_1_3_1_1_1_2_1_2"/>
    <protectedRange password="C43E" sqref="A9:B11" name="Range1_2_1_1_1_3_1_1_1_2_1_2"/>
    <protectedRange password="C43E" sqref="A13:B15" name="Range1_3_1_1_1_3_1_1_1_2_1_2"/>
    <protectedRange password="C43E" sqref="A16:B19" name="Range1_4_1_1_1_3_1_1_1_2_1_2"/>
    <protectedRange password="C43E" sqref="A21:B22" name="Range1_5_1_1_1_3_1_1_1_2_1_2"/>
    <protectedRange password="C43E" sqref="A24:B25" name="Range1_6_1_1_1_3_1_1_1_2_1_2"/>
    <protectedRange password="C43E" sqref="A27:B29" name="Range1_7_1_1_1_3_1_1_1_2_1_2"/>
    <protectedRange password="C43E" sqref="A30:B30" name="Range1_8_1_1_1_3_1_1_1_2_1_2"/>
    <protectedRange password="C43E" sqref="A32:B32" name="Range1_10_1_1_1_3_1_1_1_2_1_2"/>
    <protectedRange password="C43E" sqref="A33:B33" name="Range1_11_1_1_1_3_1_1_1_2_1_2"/>
    <protectedRange password="C43E" sqref="A35:B35" name="Range1_12_1_1_1_3_1_1_1_2_1_2"/>
    <protectedRange password="C43E" sqref="A37:B39 A57:B57" name="Range1_13_1_1_1_3_1_1_1_2_1_2"/>
    <protectedRange password="C43E" sqref="A41:B45" name="Range1_15_1_1_1_3_1_1_1_2_1_2"/>
    <protectedRange password="C43E" sqref="A53:B55" name="Range1_16_1_2_1_3_1_1_1_2_1_2"/>
    <protectedRange password="C43E" sqref="A48:B48 A49:A51" name="Range1_20_1_1_1_3_1_1_1_2_1_2"/>
    <protectedRange password="C43E" sqref="A47:B47" name="Range1_21_1_1_1_3_1_1_1_2_1_2"/>
    <protectedRange password="C43E" sqref="A56:B56 A58:B58" name="Range1_16_1_1_1_1_3_1_1_1_2_1_2"/>
    <protectedRange password="C43E" sqref="A59:B59" name="Range1_18_1_1_1_3_1_1_1_2_1_2"/>
    <protectedRange password="C43E" sqref="A60:B60" name="Range1_19_1_1_1_3_1_1_1_2_1_2"/>
    <protectedRange password="C43E" sqref="A61:B61" name="Range1_24_1_1_1_3_1_1_1_2_1_2"/>
    <protectedRange password="C43E" sqref="A82:B82" name="Range1_4_1_1_1_3_1_1_3_1_2"/>
    <protectedRange password="C43E" sqref="B135" name="Range1_19_1_1_1_3_1_1_1_1_2"/>
  </protectedRanges>
  <pageMargins left="0.7" right="0.7" top="0.75" bottom="0.75" header="0.3" footer="0.3"/>
  <pageSetup paperSize="9" scale="78" orientation="portrait" r:id="rId1"/>
  <customProperties>
    <customPr name="LastActive" r:id="rId2"/>
  </customProperties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view="pageBreakPreview" topLeftCell="A58" zoomScale="98" zoomScaleNormal="107" zoomScaleSheetLayoutView="98" workbookViewId="0">
      <selection activeCell="B124" sqref="B124"/>
    </sheetView>
  </sheetViews>
  <sheetFormatPr defaultColWidth="8.90625" defaultRowHeight="15.5" x14ac:dyDescent="0.35"/>
  <cols>
    <col min="1" max="1" width="57.6328125" style="150" customWidth="1"/>
    <col min="2" max="2" width="19.36328125" style="673" customWidth="1"/>
    <col min="3" max="3" width="19" style="149" customWidth="1"/>
    <col min="4" max="4" width="17.54296875" style="149" customWidth="1"/>
    <col min="5" max="5" width="21.453125" style="150" customWidth="1"/>
    <col min="6" max="6" width="17.90625" style="150" customWidth="1"/>
    <col min="7" max="7" width="10.6328125" style="150" bestFit="1" customWidth="1"/>
    <col min="8" max="16384" width="8.90625" style="150"/>
  </cols>
  <sheetData>
    <row r="1" spans="1:6" ht="15.65" x14ac:dyDescent="0.3">
      <c r="A1" s="834" t="s">
        <v>1160</v>
      </c>
      <c r="B1" s="835"/>
      <c r="C1" s="664"/>
      <c r="D1" s="664"/>
    </row>
    <row r="2" spans="1:6" ht="15.65" customHeight="1" x14ac:dyDescent="0.35">
      <c r="A2" s="831" t="s">
        <v>803</v>
      </c>
      <c r="B2" s="836" t="s">
        <v>804</v>
      </c>
      <c r="C2" s="837" t="s">
        <v>805</v>
      </c>
      <c r="D2" s="837"/>
    </row>
    <row r="3" spans="1:6" ht="33" customHeight="1" x14ac:dyDescent="0.35">
      <c r="A3" s="831"/>
      <c r="B3" s="836"/>
      <c r="C3" s="665" t="s">
        <v>806</v>
      </c>
      <c r="D3" s="665" t="s">
        <v>807</v>
      </c>
    </row>
    <row r="4" spans="1:6" ht="15.65" x14ac:dyDescent="0.3">
      <c r="A4" s="308" t="s">
        <v>808</v>
      </c>
      <c r="B4" s="666">
        <f>SUM(B5:B8)</f>
        <v>1192895524</v>
      </c>
      <c r="C4" s="437">
        <f>B4*1.05</f>
        <v>1252540300.2</v>
      </c>
      <c r="D4" s="437">
        <f>C4*1.05</f>
        <v>1315167315.21</v>
      </c>
    </row>
    <row r="5" spans="1:6" ht="16.25" thickBot="1" x14ac:dyDescent="0.35">
      <c r="A5" s="309" t="s">
        <v>809</v>
      </c>
      <c r="B5" s="667">
        <f>1212895524-20000000</f>
        <v>1192895524</v>
      </c>
      <c r="C5" s="437">
        <f t="shared" ref="C5:D20" si="0">B5*1.05</f>
        <v>1252540300.2</v>
      </c>
      <c r="D5" s="437">
        <f t="shared" si="0"/>
        <v>1315167315.21</v>
      </c>
      <c r="E5" s="157"/>
      <c r="F5" s="158"/>
    </row>
    <row r="6" spans="1:6" ht="15.65" x14ac:dyDescent="0.3">
      <c r="A6" s="309" t="s">
        <v>810</v>
      </c>
      <c r="B6" s="668">
        <v>0</v>
      </c>
      <c r="C6" s="437">
        <f t="shared" si="0"/>
        <v>0</v>
      </c>
      <c r="D6" s="437">
        <f t="shared" si="0"/>
        <v>0</v>
      </c>
      <c r="E6" s="157"/>
      <c r="F6" s="158"/>
    </row>
    <row r="7" spans="1:6" ht="15.65" x14ac:dyDescent="0.3">
      <c r="A7" s="309" t="s">
        <v>811</v>
      </c>
      <c r="B7" s="668"/>
      <c r="C7" s="437">
        <f t="shared" si="0"/>
        <v>0</v>
      </c>
      <c r="D7" s="437">
        <f t="shared" si="0"/>
        <v>0</v>
      </c>
      <c r="E7" s="157"/>
      <c r="F7" s="158"/>
    </row>
    <row r="8" spans="1:6" ht="15.65" x14ac:dyDescent="0.3">
      <c r="A8" s="309" t="s">
        <v>812</v>
      </c>
      <c r="B8" s="668"/>
      <c r="C8" s="437">
        <f t="shared" si="0"/>
        <v>0</v>
      </c>
      <c r="D8" s="437">
        <f t="shared" si="0"/>
        <v>0</v>
      </c>
      <c r="E8" s="159"/>
    </row>
    <row r="9" spans="1:6" ht="15.65" x14ac:dyDescent="0.3">
      <c r="A9" s="309" t="s">
        <v>813</v>
      </c>
      <c r="B9" s="668">
        <v>0</v>
      </c>
      <c r="C9" s="437">
        <f t="shared" si="0"/>
        <v>0</v>
      </c>
      <c r="D9" s="437">
        <f t="shared" si="0"/>
        <v>0</v>
      </c>
    </row>
    <row r="10" spans="1:6" ht="15.65" x14ac:dyDescent="0.3">
      <c r="A10" s="308" t="s">
        <v>814</v>
      </c>
      <c r="B10" s="666">
        <f>SUM(B11)</f>
        <v>0</v>
      </c>
      <c r="C10" s="437">
        <f t="shared" si="0"/>
        <v>0</v>
      </c>
      <c r="D10" s="437">
        <f t="shared" si="0"/>
        <v>0</v>
      </c>
    </row>
    <row r="11" spans="1:6" ht="15.65" x14ac:dyDescent="0.3">
      <c r="A11" s="309" t="s">
        <v>815</v>
      </c>
      <c r="B11" s="668">
        <v>0</v>
      </c>
      <c r="C11" s="437">
        <f t="shared" si="0"/>
        <v>0</v>
      </c>
      <c r="D11" s="437">
        <f t="shared" si="0"/>
        <v>0</v>
      </c>
    </row>
    <row r="12" spans="1:6" ht="15.65" x14ac:dyDescent="0.3">
      <c r="A12" s="308" t="s">
        <v>816</v>
      </c>
      <c r="B12" s="666">
        <f>SUM(B13)</f>
        <v>0</v>
      </c>
      <c r="C12" s="437">
        <f t="shared" si="0"/>
        <v>0</v>
      </c>
      <c r="D12" s="437">
        <f t="shared" si="0"/>
        <v>0</v>
      </c>
    </row>
    <row r="13" spans="1:6" ht="15.65" x14ac:dyDescent="0.3">
      <c r="A13" s="309" t="s">
        <v>631</v>
      </c>
      <c r="B13" s="668">
        <v>0</v>
      </c>
      <c r="C13" s="437">
        <f t="shared" si="0"/>
        <v>0</v>
      </c>
      <c r="D13" s="437">
        <f t="shared" si="0"/>
        <v>0</v>
      </c>
    </row>
    <row r="14" spans="1:6" ht="15.65" x14ac:dyDescent="0.3">
      <c r="A14" s="308" t="s">
        <v>817</v>
      </c>
      <c r="B14" s="666">
        <f>SUM(B15:B16)</f>
        <v>75000</v>
      </c>
      <c r="C14" s="437">
        <f t="shared" si="0"/>
        <v>78750</v>
      </c>
      <c r="D14" s="437">
        <f t="shared" si="0"/>
        <v>82687.5</v>
      </c>
    </row>
    <row r="15" spans="1:6" ht="15.65" x14ac:dyDescent="0.3">
      <c r="A15" s="309" t="s">
        <v>818</v>
      </c>
      <c r="B15" s="668">
        <v>75000</v>
      </c>
      <c r="C15" s="437">
        <f t="shared" si="0"/>
        <v>78750</v>
      </c>
      <c r="D15" s="437">
        <f t="shared" si="0"/>
        <v>82687.5</v>
      </c>
    </row>
    <row r="16" spans="1:6" ht="15.65" x14ac:dyDescent="0.3">
      <c r="A16" s="309" t="s">
        <v>819</v>
      </c>
      <c r="B16" s="668">
        <v>0</v>
      </c>
      <c r="C16" s="437">
        <f t="shared" si="0"/>
        <v>0</v>
      </c>
      <c r="D16" s="437">
        <f t="shared" si="0"/>
        <v>0</v>
      </c>
    </row>
    <row r="17" spans="1:4" ht="15.65" x14ac:dyDescent="0.3">
      <c r="A17" s="308" t="s">
        <v>820</v>
      </c>
      <c r="B17" s="666">
        <f>SUM(B18)</f>
        <v>515000</v>
      </c>
      <c r="C17" s="437">
        <f t="shared" si="0"/>
        <v>540750</v>
      </c>
      <c r="D17" s="437">
        <f t="shared" si="0"/>
        <v>567787.5</v>
      </c>
    </row>
    <row r="18" spans="1:4" ht="15.65" x14ac:dyDescent="0.3">
      <c r="A18" s="309" t="s">
        <v>821</v>
      </c>
      <c r="B18" s="668">
        <v>515000</v>
      </c>
      <c r="C18" s="437">
        <f t="shared" si="0"/>
        <v>540750</v>
      </c>
      <c r="D18" s="437">
        <f t="shared" si="0"/>
        <v>567787.5</v>
      </c>
    </row>
    <row r="19" spans="1:4" ht="15.65" x14ac:dyDescent="0.3">
      <c r="A19" s="308" t="s">
        <v>822</v>
      </c>
      <c r="B19" s="666">
        <f>SUM(B20:B23)</f>
        <v>4000000</v>
      </c>
      <c r="C19" s="437">
        <f t="shared" si="0"/>
        <v>4200000</v>
      </c>
      <c r="D19" s="437">
        <f t="shared" si="0"/>
        <v>4410000</v>
      </c>
    </row>
    <row r="20" spans="1:4" ht="15.65" x14ac:dyDescent="0.3">
      <c r="A20" s="309" t="s">
        <v>823</v>
      </c>
      <c r="B20" s="668">
        <v>1000000</v>
      </c>
      <c r="C20" s="437">
        <f t="shared" si="0"/>
        <v>1050000</v>
      </c>
      <c r="D20" s="437">
        <f t="shared" si="0"/>
        <v>1102500</v>
      </c>
    </row>
    <row r="21" spans="1:4" ht="15.65" x14ac:dyDescent="0.3">
      <c r="A21" s="309" t="s">
        <v>824</v>
      </c>
      <c r="B21" s="668">
        <v>3000000</v>
      </c>
      <c r="C21" s="437">
        <f t="shared" ref="C21:D36" si="1">B21*1.05</f>
        <v>3150000</v>
      </c>
      <c r="D21" s="437">
        <f t="shared" si="1"/>
        <v>3307500</v>
      </c>
    </row>
    <row r="22" spans="1:4" ht="15.65" x14ac:dyDescent="0.3">
      <c r="A22" s="309" t="s">
        <v>825</v>
      </c>
      <c r="B22" s="668"/>
      <c r="C22" s="437">
        <f t="shared" si="1"/>
        <v>0</v>
      </c>
      <c r="D22" s="437">
        <f t="shared" si="1"/>
        <v>0</v>
      </c>
    </row>
    <row r="23" spans="1:4" ht="15.65" x14ac:dyDescent="0.3">
      <c r="A23" s="309" t="s">
        <v>826</v>
      </c>
      <c r="B23" s="668"/>
      <c r="C23" s="437">
        <f t="shared" si="1"/>
        <v>0</v>
      </c>
      <c r="D23" s="437">
        <f t="shared" si="1"/>
        <v>0</v>
      </c>
    </row>
    <row r="24" spans="1:4" ht="15.65" x14ac:dyDescent="0.3">
      <c r="A24" s="308" t="s">
        <v>827</v>
      </c>
      <c r="B24" s="666">
        <f>SUM(B25:B26)</f>
        <v>0</v>
      </c>
      <c r="C24" s="437">
        <f t="shared" si="1"/>
        <v>0</v>
      </c>
      <c r="D24" s="437">
        <f t="shared" si="1"/>
        <v>0</v>
      </c>
    </row>
    <row r="25" spans="1:4" ht="15.65" x14ac:dyDescent="0.3">
      <c r="A25" s="309" t="s">
        <v>828</v>
      </c>
      <c r="B25" s="668"/>
      <c r="C25" s="437">
        <f t="shared" si="1"/>
        <v>0</v>
      </c>
      <c r="D25" s="437">
        <f t="shared" si="1"/>
        <v>0</v>
      </c>
    </row>
    <row r="26" spans="1:4" ht="15.65" x14ac:dyDescent="0.3">
      <c r="A26" s="309" t="s">
        <v>829</v>
      </c>
      <c r="B26" s="668"/>
      <c r="C26" s="437">
        <f t="shared" si="1"/>
        <v>0</v>
      </c>
      <c r="D26" s="437">
        <f t="shared" si="1"/>
        <v>0</v>
      </c>
    </row>
    <row r="27" spans="1:4" ht="15.65" x14ac:dyDescent="0.3">
      <c r="A27" s="308" t="s">
        <v>830</v>
      </c>
      <c r="B27" s="666">
        <f>SUM(B28:B29)</f>
        <v>450000</v>
      </c>
      <c r="C27" s="437">
        <f t="shared" si="1"/>
        <v>472500</v>
      </c>
      <c r="D27" s="437">
        <f t="shared" si="1"/>
        <v>496125</v>
      </c>
    </row>
    <row r="28" spans="1:4" ht="15.65" x14ac:dyDescent="0.3">
      <c r="A28" s="309" t="s">
        <v>831</v>
      </c>
      <c r="B28" s="668">
        <f>1000000-750000</f>
        <v>250000</v>
      </c>
      <c r="C28" s="437">
        <f t="shared" si="1"/>
        <v>262500</v>
      </c>
      <c r="D28" s="437">
        <f t="shared" si="1"/>
        <v>275625</v>
      </c>
    </row>
    <row r="29" spans="1:4" ht="15.65" x14ac:dyDescent="0.3">
      <c r="A29" s="309" t="s">
        <v>832</v>
      </c>
      <c r="B29" s="668">
        <v>200000</v>
      </c>
      <c r="C29" s="437">
        <f t="shared" si="1"/>
        <v>210000</v>
      </c>
      <c r="D29" s="437">
        <f t="shared" si="1"/>
        <v>220500</v>
      </c>
    </row>
    <row r="30" spans="1:4" ht="15.65" x14ac:dyDescent="0.3">
      <c r="A30" s="308" t="s">
        <v>833</v>
      </c>
      <c r="B30" s="666">
        <f>SUM(B31:B32)</f>
        <v>3635857</v>
      </c>
      <c r="C30" s="437">
        <f t="shared" si="1"/>
        <v>3817649.85</v>
      </c>
      <c r="D30" s="437">
        <f t="shared" si="1"/>
        <v>4008532.3425000003</v>
      </c>
    </row>
    <row r="31" spans="1:4" ht="15.65" x14ac:dyDescent="0.3">
      <c r="A31" s="309" t="s">
        <v>834</v>
      </c>
      <c r="B31" s="668">
        <f>2000000+1000000</f>
        <v>3000000</v>
      </c>
      <c r="C31" s="437">
        <f t="shared" si="1"/>
        <v>3150000</v>
      </c>
      <c r="D31" s="437">
        <f t="shared" si="1"/>
        <v>3307500</v>
      </c>
    </row>
    <row r="32" spans="1:4" ht="15.65" x14ac:dyDescent="0.3">
      <c r="A32" s="309" t="s">
        <v>835</v>
      </c>
      <c r="B32" s="668">
        <v>635857</v>
      </c>
      <c r="C32" s="437">
        <f t="shared" si="1"/>
        <v>667649.85</v>
      </c>
      <c r="D32" s="437">
        <f t="shared" si="1"/>
        <v>701032.34250000003</v>
      </c>
    </row>
    <row r="33" spans="1:5" ht="15.65" x14ac:dyDescent="0.3">
      <c r="A33" s="308" t="s">
        <v>836</v>
      </c>
      <c r="B33" s="666">
        <f>SUM(B34:B35)</f>
        <v>5000000</v>
      </c>
      <c r="C33" s="437">
        <f t="shared" si="1"/>
        <v>5250000</v>
      </c>
      <c r="D33" s="437">
        <f t="shared" si="1"/>
        <v>5512500</v>
      </c>
    </row>
    <row r="34" spans="1:5" ht="15.65" x14ac:dyDescent="0.3">
      <c r="A34" s="309" t="s">
        <v>837</v>
      </c>
      <c r="B34" s="668">
        <v>2500000</v>
      </c>
      <c r="C34" s="437">
        <f t="shared" si="1"/>
        <v>2625000</v>
      </c>
      <c r="D34" s="437">
        <f t="shared" si="1"/>
        <v>2756250</v>
      </c>
    </row>
    <row r="35" spans="1:5" ht="15.65" x14ac:dyDescent="0.3">
      <c r="A35" s="309" t="s">
        <v>838</v>
      </c>
      <c r="B35" s="668">
        <f>2000000+500000</f>
        <v>2500000</v>
      </c>
      <c r="C35" s="437">
        <f t="shared" si="1"/>
        <v>2625000</v>
      </c>
      <c r="D35" s="437">
        <f t="shared" si="1"/>
        <v>2756250</v>
      </c>
    </row>
    <row r="36" spans="1:5" ht="15.65" x14ac:dyDescent="0.3">
      <c r="A36" s="308" t="s">
        <v>839</v>
      </c>
      <c r="B36" s="666">
        <f>SUM(B37)</f>
        <v>500000</v>
      </c>
      <c r="C36" s="437">
        <f t="shared" si="1"/>
        <v>525000</v>
      </c>
      <c r="D36" s="437">
        <f t="shared" si="1"/>
        <v>551250</v>
      </c>
    </row>
    <row r="37" spans="1:5" ht="15.65" x14ac:dyDescent="0.3">
      <c r="A37" s="309" t="s">
        <v>840</v>
      </c>
      <c r="B37" s="668">
        <v>500000</v>
      </c>
      <c r="C37" s="437">
        <f t="shared" ref="C37:D52" si="2">B37*1.05</f>
        <v>525000</v>
      </c>
      <c r="D37" s="437">
        <f t="shared" si="2"/>
        <v>551250</v>
      </c>
    </row>
    <row r="38" spans="1:5" ht="15.65" x14ac:dyDescent="0.3">
      <c r="A38" s="308" t="s">
        <v>841</v>
      </c>
      <c r="B38" s="666">
        <f>SUM(B39)</f>
        <v>0</v>
      </c>
      <c r="C38" s="437">
        <f t="shared" si="2"/>
        <v>0</v>
      </c>
      <c r="D38" s="437">
        <f t="shared" si="2"/>
        <v>0</v>
      </c>
    </row>
    <row r="39" spans="1:5" ht="15.65" x14ac:dyDescent="0.3">
      <c r="A39" s="309" t="s">
        <v>842</v>
      </c>
      <c r="B39" s="668">
        <v>0</v>
      </c>
      <c r="C39" s="437">
        <f t="shared" si="2"/>
        <v>0</v>
      </c>
      <c r="D39" s="437">
        <f t="shared" si="2"/>
        <v>0</v>
      </c>
    </row>
    <row r="40" spans="1:5" ht="15.65" x14ac:dyDescent="0.3">
      <c r="A40" s="308" t="s">
        <v>843</v>
      </c>
      <c r="B40" s="666">
        <f>SUM(B41:B42)</f>
        <v>1800000</v>
      </c>
      <c r="C40" s="437">
        <f t="shared" si="2"/>
        <v>1890000</v>
      </c>
      <c r="D40" s="437">
        <f t="shared" si="2"/>
        <v>1984500</v>
      </c>
    </row>
    <row r="41" spans="1:5" ht="15.65" x14ac:dyDescent="0.3">
      <c r="A41" s="309" t="s">
        <v>844</v>
      </c>
      <c r="B41" s="668">
        <f>1000000+700000</f>
        <v>1700000</v>
      </c>
      <c r="C41" s="437">
        <f t="shared" si="2"/>
        <v>1785000</v>
      </c>
      <c r="D41" s="437">
        <f t="shared" si="2"/>
        <v>1874250</v>
      </c>
    </row>
    <row r="42" spans="1:5" ht="15.65" x14ac:dyDescent="0.3">
      <c r="A42" s="309" t="s">
        <v>845</v>
      </c>
      <c r="B42" s="668">
        <f>50000+50000</f>
        <v>100000</v>
      </c>
      <c r="C42" s="437">
        <f t="shared" si="2"/>
        <v>105000</v>
      </c>
      <c r="D42" s="437">
        <f t="shared" si="2"/>
        <v>110250</v>
      </c>
    </row>
    <row r="43" spans="1:5" ht="15.65" x14ac:dyDescent="0.3">
      <c r="A43" s="308" t="s">
        <v>846</v>
      </c>
      <c r="B43" s="666">
        <f>SUM(B44)</f>
        <v>2000000</v>
      </c>
      <c r="C43" s="437">
        <f t="shared" si="2"/>
        <v>2100000</v>
      </c>
      <c r="D43" s="437">
        <f t="shared" si="2"/>
        <v>2205000</v>
      </c>
    </row>
    <row r="44" spans="1:5" ht="15.65" x14ac:dyDescent="0.3">
      <c r="A44" s="309" t="s">
        <v>847</v>
      </c>
      <c r="B44" s="668">
        <v>2000000</v>
      </c>
      <c r="C44" s="437">
        <f t="shared" si="2"/>
        <v>2100000</v>
      </c>
      <c r="D44" s="437">
        <f t="shared" si="2"/>
        <v>2205000</v>
      </c>
      <c r="E44" s="150">
        <f>11502655-845125</f>
        <v>10657530</v>
      </c>
    </row>
    <row r="45" spans="1:5" ht="15.65" x14ac:dyDescent="0.3">
      <c r="A45" s="308" t="s">
        <v>848</v>
      </c>
      <c r="B45" s="666">
        <f>SUM(B46)</f>
        <v>0</v>
      </c>
      <c r="C45" s="437">
        <f t="shared" si="2"/>
        <v>0</v>
      </c>
      <c r="D45" s="437">
        <f t="shared" si="2"/>
        <v>0</v>
      </c>
      <c r="E45" s="159">
        <f>580000-E44</f>
        <v>-10077530</v>
      </c>
    </row>
    <row r="46" spans="1:5" ht="15.65" x14ac:dyDescent="0.3">
      <c r="A46" s="309" t="s">
        <v>849</v>
      </c>
      <c r="B46" s="668">
        <v>0</v>
      </c>
      <c r="C46" s="437">
        <f t="shared" si="2"/>
        <v>0</v>
      </c>
      <c r="D46" s="437">
        <f t="shared" si="2"/>
        <v>0</v>
      </c>
    </row>
    <row r="47" spans="1:5" ht="15.65" x14ac:dyDescent="0.3">
      <c r="A47" s="308" t="s">
        <v>850</v>
      </c>
      <c r="B47" s="666">
        <f>B48</f>
        <v>500000</v>
      </c>
      <c r="C47" s="437">
        <f t="shared" si="2"/>
        <v>525000</v>
      </c>
      <c r="D47" s="437">
        <f t="shared" si="2"/>
        <v>551250</v>
      </c>
    </row>
    <row r="48" spans="1:5" ht="15.65" x14ac:dyDescent="0.3">
      <c r="A48" s="309" t="s">
        <v>851</v>
      </c>
      <c r="B48" s="668">
        <v>500000</v>
      </c>
      <c r="C48" s="437">
        <f t="shared" si="2"/>
        <v>525000</v>
      </c>
      <c r="D48" s="437">
        <f t="shared" si="2"/>
        <v>551250</v>
      </c>
    </row>
    <row r="49" spans="1:4" s="153" customFormat="1" ht="15.65" x14ac:dyDescent="0.3">
      <c r="A49" s="308" t="s">
        <v>852</v>
      </c>
      <c r="B49" s="666">
        <f>B50</f>
        <v>0</v>
      </c>
      <c r="C49" s="437">
        <f t="shared" si="2"/>
        <v>0</v>
      </c>
      <c r="D49" s="437">
        <f t="shared" si="2"/>
        <v>0</v>
      </c>
    </row>
    <row r="50" spans="1:4" ht="15.65" x14ac:dyDescent="0.3">
      <c r="A50" s="309" t="s">
        <v>853</v>
      </c>
      <c r="B50" s="669">
        <v>0</v>
      </c>
      <c r="C50" s="437">
        <f t="shared" si="2"/>
        <v>0</v>
      </c>
      <c r="D50" s="437">
        <f t="shared" si="2"/>
        <v>0</v>
      </c>
    </row>
    <row r="51" spans="1:4" ht="15.65" x14ac:dyDescent="0.3">
      <c r="A51" s="308" t="s">
        <v>854</v>
      </c>
      <c r="B51" s="666">
        <f>B52+B53</f>
        <v>0</v>
      </c>
      <c r="C51" s="437">
        <f t="shared" si="2"/>
        <v>0</v>
      </c>
      <c r="D51" s="437">
        <f t="shared" si="2"/>
        <v>0</v>
      </c>
    </row>
    <row r="52" spans="1:4" ht="15.65" x14ac:dyDescent="0.3">
      <c r="A52" s="309" t="s">
        <v>855</v>
      </c>
      <c r="B52" s="668">
        <v>0</v>
      </c>
      <c r="C52" s="437">
        <f t="shared" si="2"/>
        <v>0</v>
      </c>
      <c r="D52" s="437">
        <f t="shared" si="2"/>
        <v>0</v>
      </c>
    </row>
    <row r="53" spans="1:4" ht="15.65" x14ac:dyDescent="0.3">
      <c r="A53" s="309" t="s">
        <v>856</v>
      </c>
      <c r="B53" s="668">
        <v>0</v>
      </c>
      <c r="C53" s="437">
        <f t="shared" ref="C53:D59" si="3">B53*1.05</f>
        <v>0</v>
      </c>
      <c r="D53" s="437">
        <f t="shared" si="3"/>
        <v>0</v>
      </c>
    </row>
    <row r="54" spans="1:4" ht="15.65" x14ac:dyDescent="0.3">
      <c r="A54" s="310" t="s">
        <v>857</v>
      </c>
      <c r="B54" s="666">
        <f>SUM(B55:B56)</f>
        <v>30000000</v>
      </c>
      <c r="C54" s="437">
        <f t="shared" si="3"/>
        <v>31500000</v>
      </c>
      <c r="D54" s="437">
        <f t="shared" si="3"/>
        <v>33075000</v>
      </c>
    </row>
    <row r="55" spans="1:4" ht="15.65" x14ac:dyDescent="0.3">
      <c r="A55" s="311" t="s">
        <v>858</v>
      </c>
      <c r="B55" s="668"/>
      <c r="C55" s="437">
        <f t="shared" si="3"/>
        <v>0</v>
      </c>
      <c r="D55" s="437">
        <f t="shared" si="3"/>
        <v>0</v>
      </c>
    </row>
    <row r="56" spans="1:4" ht="15.65" x14ac:dyDescent="0.3">
      <c r="A56" s="311" t="s">
        <v>859</v>
      </c>
      <c r="B56" s="668">
        <v>30000000</v>
      </c>
      <c r="C56" s="437">
        <f t="shared" si="3"/>
        <v>31500000</v>
      </c>
      <c r="D56" s="437">
        <f t="shared" si="3"/>
        <v>33075000</v>
      </c>
    </row>
    <row r="57" spans="1:4" s="153" customFormat="1" ht="15.65" x14ac:dyDescent="0.3">
      <c r="A57" s="310" t="s">
        <v>860</v>
      </c>
      <c r="B57" s="666">
        <f>B58</f>
        <v>0</v>
      </c>
      <c r="C57" s="437">
        <f t="shared" si="3"/>
        <v>0</v>
      </c>
      <c r="D57" s="437">
        <f t="shared" si="3"/>
        <v>0</v>
      </c>
    </row>
    <row r="58" spans="1:4" ht="15.65" x14ac:dyDescent="0.3">
      <c r="A58" s="311" t="s">
        <v>861</v>
      </c>
      <c r="B58" s="668">
        <v>0</v>
      </c>
      <c r="C58" s="437">
        <f t="shared" si="3"/>
        <v>0</v>
      </c>
      <c r="D58" s="437">
        <f t="shared" si="3"/>
        <v>0</v>
      </c>
    </row>
    <row r="59" spans="1:4" ht="15.65" x14ac:dyDescent="0.3">
      <c r="A59" s="312" t="s">
        <v>1151</v>
      </c>
      <c r="B59" s="666">
        <f>B54+B51+B49+B47+B45+B43+B40+B38+B36+B33+B27+B24+B19+B17+B14+B12+B10+B4+B30+B57</f>
        <v>1241371381</v>
      </c>
      <c r="C59" s="437">
        <f t="shared" si="3"/>
        <v>1303439950.05</v>
      </c>
      <c r="D59" s="437">
        <f t="shared" si="3"/>
        <v>1368611947.5525</v>
      </c>
    </row>
    <row r="60" spans="1:4" ht="15.65" x14ac:dyDescent="0.3">
      <c r="A60" s="312" t="s">
        <v>1152</v>
      </c>
      <c r="B60" s="666"/>
      <c r="C60" s="437"/>
      <c r="D60" s="444"/>
    </row>
    <row r="61" spans="1:4" x14ac:dyDescent="0.35">
      <c r="A61" s="831" t="s">
        <v>803</v>
      </c>
      <c r="B61" s="836" t="s">
        <v>804</v>
      </c>
      <c r="C61" s="837" t="s">
        <v>805</v>
      </c>
      <c r="D61" s="837"/>
    </row>
    <row r="62" spans="1:4" ht="34.5" customHeight="1" x14ac:dyDescent="0.35">
      <c r="A62" s="831"/>
      <c r="B62" s="836"/>
      <c r="C62" s="665" t="s">
        <v>806</v>
      </c>
      <c r="D62" s="665" t="s">
        <v>807</v>
      </c>
    </row>
    <row r="63" spans="1:4" ht="15.65" x14ac:dyDescent="0.3">
      <c r="A63" s="311" t="s">
        <v>826</v>
      </c>
      <c r="B63" s="668">
        <v>0</v>
      </c>
      <c r="C63" s="437">
        <f>B63*1.05</f>
        <v>0</v>
      </c>
      <c r="D63" s="437">
        <f>C63*1.05</f>
        <v>0</v>
      </c>
    </row>
    <row r="64" spans="1:4" ht="15.65" x14ac:dyDescent="0.3">
      <c r="A64" s="312" t="s">
        <v>863</v>
      </c>
      <c r="B64" s="668">
        <v>0</v>
      </c>
      <c r="C64" s="437">
        <f t="shared" ref="C64:D74" si="4">B64*1.05</f>
        <v>0</v>
      </c>
      <c r="D64" s="437">
        <f t="shared" si="4"/>
        <v>0</v>
      </c>
    </row>
    <row r="65" spans="1:7" ht="15.65" x14ac:dyDescent="0.3">
      <c r="A65" s="310" t="s">
        <v>864</v>
      </c>
      <c r="B65" s="666"/>
      <c r="C65" s="437">
        <f t="shared" si="4"/>
        <v>0</v>
      </c>
      <c r="D65" s="437">
        <f t="shared" si="4"/>
        <v>0</v>
      </c>
    </row>
    <row r="66" spans="1:7" ht="15.65" x14ac:dyDescent="0.3">
      <c r="A66" s="311" t="s">
        <v>865</v>
      </c>
      <c r="B66" s="668">
        <v>0</v>
      </c>
      <c r="C66" s="437">
        <f t="shared" si="4"/>
        <v>0</v>
      </c>
      <c r="D66" s="437">
        <f t="shared" si="4"/>
        <v>0</v>
      </c>
    </row>
    <row r="67" spans="1:7" ht="15.65" x14ac:dyDescent="0.3">
      <c r="A67" s="311" t="s">
        <v>858</v>
      </c>
      <c r="B67" s="668">
        <v>45000000</v>
      </c>
      <c r="C67" s="437">
        <f t="shared" si="4"/>
        <v>47250000</v>
      </c>
      <c r="D67" s="437">
        <f t="shared" si="4"/>
        <v>49612500</v>
      </c>
    </row>
    <row r="68" spans="1:7" ht="15.65" x14ac:dyDescent="0.3">
      <c r="A68" s="311" t="s">
        <v>1223</v>
      </c>
      <c r="B68" s="668">
        <v>90000000</v>
      </c>
      <c r="C68" s="437">
        <f t="shared" si="4"/>
        <v>94500000</v>
      </c>
      <c r="D68" s="437">
        <f t="shared" si="4"/>
        <v>99225000</v>
      </c>
    </row>
    <row r="69" spans="1:7" ht="15.65" x14ac:dyDescent="0.3">
      <c r="A69" s="311" t="s">
        <v>866</v>
      </c>
      <c r="B69" s="668">
        <v>3000000</v>
      </c>
      <c r="C69" s="437">
        <f t="shared" si="4"/>
        <v>3150000</v>
      </c>
      <c r="D69" s="437">
        <f t="shared" si="4"/>
        <v>3307500</v>
      </c>
    </row>
    <row r="70" spans="1:7" ht="15.65" x14ac:dyDescent="0.3">
      <c r="A70" s="311" t="s">
        <v>867</v>
      </c>
      <c r="B70" s="668">
        <v>8160000</v>
      </c>
      <c r="C70" s="437">
        <f t="shared" si="4"/>
        <v>8568000</v>
      </c>
      <c r="D70" s="437">
        <f t="shared" si="4"/>
        <v>8996400</v>
      </c>
      <c r="E70" s="154"/>
    </row>
    <row r="71" spans="1:7" ht="15.65" x14ac:dyDescent="0.3">
      <c r="A71" s="311" t="s">
        <v>868</v>
      </c>
      <c r="B71" s="668"/>
      <c r="C71" s="437">
        <f t="shared" si="4"/>
        <v>0</v>
      </c>
      <c r="D71" s="437">
        <f t="shared" si="4"/>
        <v>0</v>
      </c>
      <c r="E71" s="154"/>
    </row>
    <row r="72" spans="1:7" ht="15.65" x14ac:dyDescent="0.3">
      <c r="A72" s="311" t="s">
        <v>869</v>
      </c>
      <c r="B72" s="668">
        <v>0</v>
      </c>
      <c r="C72" s="437">
        <f t="shared" si="4"/>
        <v>0</v>
      </c>
      <c r="D72" s="437">
        <f t="shared" si="4"/>
        <v>0</v>
      </c>
    </row>
    <row r="73" spans="1:7" s="153" customFormat="1" ht="15.65" customHeight="1" x14ac:dyDescent="0.3">
      <c r="A73" s="313" t="s">
        <v>1153</v>
      </c>
      <c r="B73" s="670">
        <f>SUM(B63:B72)</f>
        <v>146160000</v>
      </c>
      <c r="C73" s="437">
        <f t="shared" si="4"/>
        <v>153468000</v>
      </c>
      <c r="D73" s="437">
        <f t="shared" si="4"/>
        <v>161141400</v>
      </c>
    </row>
    <row r="74" spans="1:7" ht="15.65" x14ac:dyDescent="0.3">
      <c r="A74" s="314" t="s">
        <v>1154</v>
      </c>
      <c r="B74" s="666">
        <f>B73+B59</f>
        <v>1387531381</v>
      </c>
      <c r="C74" s="437">
        <f t="shared" si="4"/>
        <v>1456907950.05</v>
      </c>
      <c r="D74" s="437">
        <f t="shared" si="4"/>
        <v>1529753347.5525</v>
      </c>
      <c r="E74" s="159"/>
      <c r="F74" s="159">
        <v>1302970791.2028491</v>
      </c>
    </row>
    <row r="75" spans="1:7" ht="15.65" x14ac:dyDescent="0.3">
      <c r="A75" s="830" t="s">
        <v>1155</v>
      </c>
      <c r="B75" s="830"/>
      <c r="C75" s="444"/>
      <c r="D75" s="444"/>
    </row>
    <row r="76" spans="1:7" ht="15.65" customHeight="1" x14ac:dyDescent="0.35">
      <c r="A76" s="831" t="s">
        <v>803</v>
      </c>
      <c r="B76" s="832" t="s">
        <v>804</v>
      </c>
      <c r="C76" s="833" t="s">
        <v>805</v>
      </c>
      <c r="D76" s="833"/>
    </row>
    <row r="77" spans="1:7" ht="26.15" customHeight="1" x14ac:dyDescent="0.35">
      <c r="A77" s="831"/>
      <c r="B77" s="832"/>
      <c r="C77" s="665" t="s">
        <v>806</v>
      </c>
      <c r="D77" s="665" t="s">
        <v>807</v>
      </c>
    </row>
    <row r="78" spans="1:7" ht="15.65" x14ac:dyDescent="0.3">
      <c r="A78" s="308" t="s">
        <v>822</v>
      </c>
      <c r="B78" s="666">
        <f>SUM(B79:B81)</f>
        <v>6281237</v>
      </c>
      <c r="C78" s="437">
        <f>B78*1.05</f>
        <v>6595298.8500000006</v>
      </c>
      <c r="D78" s="437">
        <f>C78*1.05</f>
        <v>6925063.7925000004</v>
      </c>
      <c r="E78" s="154"/>
      <c r="G78" s="154"/>
    </row>
    <row r="79" spans="1:7" ht="15.65" x14ac:dyDescent="0.3">
      <c r="A79" s="309" t="s">
        <v>823</v>
      </c>
      <c r="B79" s="668">
        <f>1000000+1000000</f>
        <v>2000000</v>
      </c>
      <c r="C79" s="437">
        <f t="shared" ref="C79:D94" si="5">B79*1.05</f>
        <v>2100000</v>
      </c>
      <c r="D79" s="437">
        <f t="shared" si="5"/>
        <v>2205000</v>
      </c>
    </row>
    <row r="80" spans="1:7" ht="15.65" x14ac:dyDescent="0.3">
      <c r="A80" s="309" t="s">
        <v>825</v>
      </c>
      <c r="B80" s="668">
        <f>500000+500000+1000000</f>
        <v>2000000</v>
      </c>
      <c r="C80" s="437">
        <f t="shared" si="5"/>
        <v>2100000</v>
      </c>
      <c r="D80" s="437">
        <f t="shared" si="5"/>
        <v>2205000</v>
      </c>
    </row>
    <row r="81" spans="1:4" ht="15.65" x14ac:dyDescent="0.3">
      <c r="A81" s="309" t="s">
        <v>872</v>
      </c>
      <c r="B81" s="668">
        <f>2774192-492955</f>
        <v>2281237</v>
      </c>
      <c r="C81" s="437">
        <f t="shared" si="5"/>
        <v>2395298.85</v>
      </c>
      <c r="D81" s="437">
        <f t="shared" si="5"/>
        <v>2515063.7925</v>
      </c>
    </row>
    <row r="82" spans="1:4" ht="15.65" x14ac:dyDescent="0.3">
      <c r="A82" s="308" t="s">
        <v>830</v>
      </c>
      <c r="B82" s="666">
        <f>SUM(B83:B85)</f>
        <v>700000</v>
      </c>
      <c r="C82" s="437">
        <f t="shared" si="5"/>
        <v>735000</v>
      </c>
      <c r="D82" s="437">
        <f t="shared" si="5"/>
        <v>771750</v>
      </c>
    </row>
    <row r="83" spans="1:4" ht="18.899999999999999" customHeight="1" x14ac:dyDescent="0.3">
      <c r="A83" s="309" t="s">
        <v>831</v>
      </c>
      <c r="B83" s="668">
        <v>500000</v>
      </c>
      <c r="C83" s="437">
        <f t="shared" si="5"/>
        <v>525000</v>
      </c>
      <c r="D83" s="437">
        <f t="shared" si="5"/>
        <v>551250</v>
      </c>
    </row>
    <row r="84" spans="1:4" ht="15.65" x14ac:dyDescent="0.3">
      <c r="A84" s="309" t="s">
        <v>873</v>
      </c>
      <c r="B84" s="668">
        <v>0</v>
      </c>
      <c r="C84" s="437">
        <f t="shared" si="5"/>
        <v>0</v>
      </c>
      <c r="D84" s="437">
        <f t="shared" si="5"/>
        <v>0</v>
      </c>
    </row>
    <row r="85" spans="1:4" ht="15.65" x14ac:dyDescent="0.3">
      <c r="A85" s="309" t="s">
        <v>832</v>
      </c>
      <c r="B85" s="668">
        <v>200000</v>
      </c>
      <c r="C85" s="437">
        <f t="shared" si="5"/>
        <v>210000</v>
      </c>
      <c r="D85" s="437">
        <f t="shared" si="5"/>
        <v>220500</v>
      </c>
    </row>
    <row r="86" spans="1:4" ht="15.65" x14ac:dyDescent="0.3">
      <c r="A86" s="308" t="s">
        <v>874</v>
      </c>
      <c r="B86" s="666">
        <f>SUM(B87:B88)</f>
        <v>3000000</v>
      </c>
      <c r="C86" s="437">
        <f t="shared" si="5"/>
        <v>3150000</v>
      </c>
      <c r="D86" s="437">
        <f t="shared" si="5"/>
        <v>3307500</v>
      </c>
    </row>
    <row r="87" spans="1:4" ht="15.65" x14ac:dyDescent="0.3">
      <c r="A87" s="309" t="s">
        <v>834</v>
      </c>
      <c r="B87" s="668">
        <v>2000000</v>
      </c>
      <c r="C87" s="437">
        <f t="shared" si="5"/>
        <v>2100000</v>
      </c>
      <c r="D87" s="437">
        <f t="shared" si="5"/>
        <v>2205000</v>
      </c>
    </row>
    <row r="88" spans="1:4" ht="15.65" x14ac:dyDescent="0.3">
      <c r="A88" s="309" t="s">
        <v>875</v>
      </c>
      <c r="B88" s="668">
        <v>1000000</v>
      </c>
      <c r="C88" s="437">
        <f t="shared" si="5"/>
        <v>1050000</v>
      </c>
      <c r="D88" s="437">
        <f t="shared" si="5"/>
        <v>1102500</v>
      </c>
    </row>
    <row r="89" spans="1:4" ht="15.65" x14ac:dyDescent="0.3">
      <c r="A89" s="308" t="s">
        <v>836</v>
      </c>
      <c r="B89" s="666">
        <f>SUM(B90:B91)</f>
        <v>4000000</v>
      </c>
      <c r="C89" s="437">
        <f t="shared" si="5"/>
        <v>4200000</v>
      </c>
      <c r="D89" s="437">
        <f t="shared" si="5"/>
        <v>4410000</v>
      </c>
    </row>
    <row r="90" spans="1:4" ht="36" customHeight="1" x14ac:dyDescent="0.3">
      <c r="A90" s="309" t="s">
        <v>837</v>
      </c>
      <c r="B90" s="668">
        <v>2000000</v>
      </c>
      <c r="C90" s="437">
        <f t="shared" si="5"/>
        <v>2100000</v>
      </c>
      <c r="D90" s="437">
        <f t="shared" si="5"/>
        <v>2205000</v>
      </c>
    </row>
    <row r="91" spans="1:4" ht="15.65" x14ac:dyDescent="0.3">
      <c r="A91" s="309" t="s">
        <v>838</v>
      </c>
      <c r="B91" s="668">
        <v>2000000</v>
      </c>
      <c r="C91" s="437">
        <f t="shared" si="5"/>
        <v>2100000</v>
      </c>
      <c r="D91" s="437">
        <f t="shared" si="5"/>
        <v>2205000</v>
      </c>
    </row>
    <row r="92" spans="1:4" ht="15.65" x14ac:dyDescent="0.3">
      <c r="A92" s="308" t="s">
        <v>839</v>
      </c>
      <c r="B92" s="666">
        <f>SUM(B93)</f>
        <v>0</v>
      </c>
      <c r="C92" s="437">
        <f t="shared" si="5"/>
        <v>0</v>
      </c>
      <c r="D92" s="437">
        <f t="shared" si="5"/>
        <v>0</v>
      </c>
    </row>
    <row r="93" spans="1:4" ht="18.899999999999999" customHeight="1" x14ac:dyDescent="0.3">
      <c r="A93" s="309" t="s">
        <v>840</v>
      </c>
      <c r="B93" s="668">
        <v>0</v>
      </c>
      <c r="C93" s="437">
        <f t="shared" si="5"/>
        <v>0</v>
      </c>
      <c r="D93" s="437">
        <f t="shared" si="5"/>
        <v>0</v>
      </c>
    </row>
    <row r="94" spans="1:4" ht="15.65" x14ac:dyDescent="0.3">
      <c r="A94" s="308" t="s">
        <v>841</v>
      </c>
      <c r="B94" s="666">
        <f>SUM(B95)</f>
        <v>0</v>
      </c>
      <c r="C94" s="437">
        <f t="shared" si="5"/>
        <v>0</v>
      </c>
      <c r="D94" s="437">
        <f t="shared" si="5"/>
        <v>0</v>
      </c>
    </row>
    <row r="95" spans="1:4" ht="15.65" x14ac:dyDescent="0.3">
      <c r="A95" s="309" t="s">
        <v>876</v>
      </c>
      <c r="B95" s="668"/>
      <c r="C95" s="437">
        <f t="shared" ref="C95:D110" si="6">B95*1.05</f>
        <v>0</v>
      </c>
      <c r="D95" s="437">
        <f t="shared" si="6"/>
        <v>0</v>
      </c>
    </row>
    <row r="96" spans="1:4" ht="15.65" x14ac:dyDescent="0.3">
      <c r="A96" s="308" t="s">
        <v>843</v>
      </c>
      <c r="B96" s="666">
        <f>SUM(B97:B98)</f>
        <v>300000</v>
      </c>
      <c r="C96" s="437">
        <f t="shared" si="6"/>
        <v>315000</v>
      </c>
      <c r="D96" s="437">
        <f t="shared" si="6"/>
        <v>330750</v>
      </c>
    </row>
    <row r="97" spans="1:4" ht="15.65" x14ac:dyDescent="0.3">
      <c r="A97" s="309" t="s">
        <v>844</v>
      </c>
      <c r="B97" s="668">
        <v>250000</v>
      </c>
      <c r="C97" s="437">
        <f t="shared" si="6"/>
        <v>262500</v>
      </c>
      <c r="D97" s="437">
        <f t="shared" si="6"/>
        <v>275625</v>
      </c>
    </row>
    <row r="98" spans="1:4" ht="15.65" x14ac:dyDescent="0.3">
      <c r="A98" s="309" t="s">
        <v>845</v>
      </c>
      <c r="B98" s="668">
        <v>50000</v>
      </c>
      <c r="C98" s="437">
        <f t="shared" si="6"/>
        <v>52500</v>
      </c>
      <c r="D98" s="437">
        <f t="shared" si="6"/>
        <v>55125</v>
      </c>
    </row>
    <row r="99" spans="1:4" ht="15.65" x14ac:dyDescent="0.3">
      <c r="A99" s="308" t="s">
        <v>846</v>
      </c>
      <c r="B99" s="666">
        <f>SUM(B100)</f>
        <v>500000</v>
      </c>
      <c r="C99" s="437">
        <f t="shared" si="6"/>
        <v>525000</v>
      </c>
      <c r="D99" s="437">
        <f t="shared" si="6"/>
        <v>551250</v>
      </c>
    </row>
    <row r="100" spans="1:4" ht="15.65" x14ac:dyDescent="0.3">
      <c r="A100" s="309" t="s">
        <v>847</v>
      </c>
      <c r="B100" s="668">
        <v>500000</v>
      </c>
      <c r="C100" s="437">
        <f t="shared" si="6"/>
        <v>525000</v>
      </c>
      <c r="D100" s="437">
        <f t="shared" si="6"/>
        <v>551250</v>
      </c>
    </row>
    <row r="101" spans="1:4" ht="15.65" x14ac:dyDescent="0.3">
      <c r="A101" s="308" t="s">
        <v>848</v>
      </c>
      <c r="B101" s="666">
        <f>SUM(B102)</f>
        <v>0</v>
      </c>
      <c r="C101" s="437">
        <f t="shared" si="6"/>
        <v>0</v>
      </c>
      <c r="D101" s="437">
        <f t="shared" si="6"/>
        <v>0</v>
      </c>
    </row>
    <row r="102" spans="1:4" ht="15.65" x14ac:dyDescent="0.3">
      <c r="A102" s="309" t="s">
        <v>849</v>
      </c>
      <c r="B102" s="668">
        <v>0</v>
      </c>
      <c r="C102" s="437">
        <f t="shared" si="6"/>
        <v>0</v>
      </c>
      <c r="D102" s="437">
        <f t="shared" si="6"/>
        <v>0</v>
      </c>
    </row>
    <row r="103" spans="1:4" ht="15.65" x14ac:dyDescent="0.3">
      <c r="A103" s="308" t="s">
        <v>850</v>
      </c>
      <c r="B103" s="666">
        <f>SUM(B104)</f>
        <v>0</v>
      </c>
      <c r="C103" s="437">
        <f t="shared" si="6"/>
        <v>0</v>
      </c>
      <c r="D103" s="437">
        <f t="shared" si="6"/>
        <v>0</v>
      </c>
    </row>
    <row r="104" spans="1:4" ht="15.65" x14ac:dyDescent="0.3">
      <c r="A104" s="309" t="s">
        <v>851</v>
      </c>
      <c r="B104" s="668">
        <v>0</v>
      </c>
      <c r="C104" s="437">
        <f t="shared" si="6"/>
        <v>0</v>
      </c>
      <c r="D104" s="437">
        <f t="shared" si="6"/>
        <v>0</v>
      </c>
    </row>
    <row r="105" spans="1:4" ht="15.65" x14ac:dyDescent="0.3">
      <c r="A105" s="308" t="s">
        <v>877</v>
      </c>
      <c r="B105" s="666">
        <f>SUM(B106:B108)</f>
        <v>0</v>
      </c>
      <c r="C105" s="437">
        <f t="shared" si="6"/>
        <v>0</v>
      </c>
      <c r="D105" s="437">
        <f t="shared" si="6"/>
        <v>0</v>
      </c>
    </row>
    <row r="106" spans="1:4" ht="15.65" x14ac:dyDescent="0.3">
      <c r="A106" s="309" t="s">
        <v>878</v>
      </c>
      <c r="B106" s="668">
        <v>0</v>
      </c>
      <c r="C106" s="437">
        <f t="shared" si="6"/>
        <v>0</v>
      </c>
      <c r="D106" s="437">
        <f t="shared" si="6"/>
        <v>0</v>
      </c>
    </row>
    <row r="107" spans="1:4" ht="15.65" x14ac:dyDescent="0.3">
      <c r="A107" s="309" t="s">
        <v>879</v>
      </c>
      <c r="B107" s="668">
        <v>0</v>
      </c>
      <c r="C107" s="437">
        <f t="shared" si="6"/>
        <v>0</v>
      </c>
      <c r="D107" s="437">
        <f t="shared" si="6"/>
        <v>0</v>
      </c>
    </row>
    <row r="108" spans="1:4" s="153" customFormat="1" ht="15.65" x14ac:dyDescent="0.3">
      <c r="A108" s="309" t="s">
        <v>880</v>
      </c>
      <c r="B108" s="668">
        <v>0</v>
      </c>
      <c r="C108" s="437">
        <f t="shared" si="6"/>
        <v>0</v>
      </c>
      <c r="D108" s="437">
        <f t="shared" si="6"/>
        <v>0</v>
      </c>
    </row>
    <row r="109" spans="1:4" ht="15.65" x14ac:dyDescent="0.3">
      <c r="A109" s="308" t="s">
        <v>854</v>
      </c>
      <c r="B109" s="666">
        <f>SUM(B110)</f>
        <v>0</v>
      </c>
      <c r="C109" s="437">
        <f t="shared" si="6"/>
        <v>0</v>
      </c>
      <c r="D109" s="437">
        <f t="shared" si="6"/>
        <v>0</v>
      </c>
    </row>
    <row r="110" spans="1:4" s="153" customFormat="1" ht="15.65" x14ac:dyDescent="0.3">
      <c r="A110" s="309" t="s">
        <v>856</v>
      </c>
      <c r="B110" s="668">
        <v>0</v>
      </c>
      <c r="C110" s="437">
        <f t="shared" si="6"/>
        <v>0</v>
      </c>
      <c r="D110" s="437">
        <f t="shared" si="6"/>
        <v>0</v>
      </c>
    </row>
    <row r="111" spans="1:4" ht="23.15" customHeight="1" x14ac:dyDescent="0.3">
      <c r="A111" s="312" t="s">
        <v>862</v>
      </c>
      <c r="B111" s="666">
        <f>B109+B105+B103+B101+B99+B96+B94+B92+B89+B82+B78</f>
        <v>11781237</v>
      </c>
      <c r="C111" s="437">
        <f t="shared" ref="C111:D123" si="7">B111*1.05</f>
        <v>12370298.85</v>
      </c>
      <c r="D111" s="437">
        <f t="shared" si="7"/>
        <v>12988813.7925</v>
      </c>
    </row>
    <row r="112" spans="1:4" s="153" customFormat="1" ht="15.65" x14ac:dyDescent="0.3">
      <c r="A112" s="156" t="s">
        <v>385</v>
      </c>
      <c r="B112" s="671"/>
      <c r="C112" s="437">
        <f t="shared" si="7"/>
        <v>0</v>
      </c>
      <c r="D112" s="437">
        <f t="shared" si="7"/>
        <v>0</v>
      </c>
    </row>
    <row r="113" spans="1:6" ht="33" customHeight="1" x14ac:dyDescent="0.3">
      <c r="A113" s="310" t="s">
        <v>822</v>
      </c>
      <c r="B113" s="666">
        <f>B114</f>
        <v>0</v>
      </c>
      <c r="C113" s="437">
        <f t="shared" si="7"/>
        <v>0</v>
      </c>
      <c r="D113" s="437">
        <f t="shared" si="7"/>
        <v>0</v>
      </c>
    </row>
    <row r="114" spans="1:6" ht="15.65" x14ac:dyDescent="0.3">
      <c r="A114" s="311" t="s">
        <v>826</v>
      </c>
      <c r="B114" s="668">
        <v>0</v>
      </c>
      <c r="C114" s="437">
        <f t="shared" si="7"/>
        <v>0</v>
      </c>
      <c r="D114" s="437">
        <f t="shared" si="7"/>
        <v>0</v>
      </c>
    </row>
    <row r="115" spans="1:6" ht="22.5" customHeight="1" x14ac:dyDescent="0.3">
      <c r="A115" s="310" t="s">
        <v>881</v>
      </c>
      <c r="B115" s="666">
        <f>B116</f>
        <v>15000000</v>
      </c>
      <c r="C115" s="437">
        <f t="shared" si="7"/>
        <v>15750000</v>
      </c>
      <c r="D115" s="437">
        <f t="shared" si="7"/>
        <v>16537500</v>
      </c>
    </row>
    <row r="116" spans="1:6" ht="21.9" customHeight="1" x14ac:dyDescent="0.3">
      <c r="A116" s="311" t="s">
        <v>882</v>
      </c>
      <c r="B116" s="169">
        <v>15000000</v>
      </c>
      <c r="C116" s="437">
        <f t="shared" si="7"/>
        <v>15750000</v>
      </c>
      <c r="D116" s="437">
        <f t="shared" si="7"/>
        <v>16537500</v>
      </c>
    </row>
    <row r="117" spans="1:6" ht="21" customHeight="1" x14ac:dyDescent="0.3">
      <c r="A117" s="310" t="s">
        <v>864</v>
      </c>
      <c r="B117" s="666">
        <f>SUM(B118:B120)</f>
        <v>16742000</v>
      </c>
      <c r="C117" s="437">
        <f t="shared" si="7"/>
        <v>17579100</v>
      </c>
      <c r="D117" s="437">
        <f t="shared" si="7"/>
        <v>18458055</v>
      </c>
    </row>
    <row r="118" spans="1:6" ht="24.65" customHeight="1" x14ac:dyDescent="0.3">
      <c r="A118" s="311" t="s">
        <v>865</v>
      </c>
      <c r="B118" s="669">
        <f>5000000+4000000-2258000</f>
        <v>6742000</v>
      </c>
      <c r="C118" s="437">
        <f t="shared" si="7"/>
        <v>7079100</v>
      </c>
      <c r="D118" s="437">
        <f t="shared" si="7"/>
        <v>7433055</v>
      </c>
    </row>
    <row r="119" spans="1:6" ht="20.149999999999999" customHeight="1" x14ac:dyDescent="0.3">
      <c r="A119" s="311" t="s">
        <v>883</v>
      </c>
      <c r="B119" s="668">
        <v>5000000</v>
      </c>
      <c r="C119" s="437">
        <f t="shared" si="7"/>
        <v>5250000</v>
      </c>
      <c r="D119" s="437">
        <f t="shared" si="7"/>
        <v>5512500</v>
      </c>
    </row>
    <row r="120" spans="1:6" ht="15.65" x14ac:dyDescent="0.3">
      <c r="A120" s="311" t="s">
        <v>884</v>
      </c>
      <c r="B120" s="668">
        <v>5000000</v>
      </c>
      <c r="C120" s="437">
        <f t="shared" si="7"/>
        <v>5250000</v>
      </c>
      <c r="D120" s="437">
        <f t="shared" si="7"/>
        <v>5512500</v>
      </c>
    </row>
    <row r="121" spans="1:6" ht="15.65" x14ac:dyDescent="0.3">
      <c r="A121" s="314" t="s">
        <v>885</v>
      </c>
      <c r="B121" s="666">
        <f>B115+B117</f>
        <v>31742000</v>
      </c>
      <c r="C121" s="437">
        <f t="shared" si="7"/>
        <v>33329100</v>
      </c>
      <c r="D121" s="437">
        <f t="shared" si="7"/>
        <v>34995555</v>
      </c>
    </row>
    <row r="122" spans="1:6" ht="15.65" x14ac:dyDescent="0.3">
      <c r="A122" s="156" t="s">
        <v>1156</v>
      </c>
      <c r="B122" s="672">
        <f>B111+B121</f>
        <v>43523237</v>
      </c>
      <c r="C122" s="437">
        <f t="shared" si="7"/>
        <v>45699398.850000001</v>
      </c>
      <c r="D122" s="437">
        <f t="shared" si="7"/>
        <v>47984368.792500004</v>
      </c>
    </row>
    <row r="123" spans="1:6" s="153" customFormat="1" ht="20.149999999999999" customHeight="1" x14ac:dyDescent="0.3">
      <c r="A123" s="731" t="s">
        <v>1157</v>
      </c>
      <c r="B123" s="732">
        <f>B122+B74</f>
        <v>1431054618</v>
      </c>
      <c r="C123" s="733">
        <f t="shared" si="7"/>
        <v>1502607348.9000001</v>
      </c>
      <c r="D123" s="733">
        <f t="shared" si="7"/>
        <v>1577737716.3450003</v>
      </c>
      <c r="F123" s="153" t="s">
        <v>338</v>
      </c>
    </row>
    <row r="124" spans="1:6" ht="16.25" x14ac:dyDescent="0.3">
      <c r="A124" s="728" t="s">
        <v>1193</v>
      </c>
      <c r="B124" s="732">
        <f>'Local Rev.'!D38</f>
        <v>4205000</v>
      </c>
      <c r="C124" s="733">
        <f t="shared" ref="C124" si="8">B124*1.05</f>
        <v>4415250</v>
      </c>
      <c r="D124" s="733">
        <f t="shared" ref="D124" si="9">C124*1.05</f>
        <v>4636012.5</v>
      </c>
    </row>
    <row r="125" spans="1:6" ht="16.25" x14ac:dyDescent="0.3">
      <c r="A125" s="728" t="s">
        <v>1278</v>
      </c>
      <c r="B125" s="732">
        <f>B123-B124</f>
        <v>1426849618</v>
      </c>
      <c r="C125" s="732">
        <f t="shared" ref="C125:D125" si="10">C123-C124</f>
        <v>1498192098.9000001</v>
      </c>
      <c r="D125" s="732">
        <f t="shared" si="10"/>
        <v>1573101703.8450003</v>
      </c>
    </row>
    <row r="146" ht="24" customHeight="1" x14ac:dyDescent="0.3"/>
    <row r="147" ht="15" customHeight="1" x14ac:dyDescent="0.3"/>
    <row r="148" ht="15" customHeight="1" x14ac:dyDescent="0.3"/>
  </sheetData>
  <mergeCells count="11">
    <mergeCell ref="A75:B75"/>
    <mergeCell ref="A76:A77"/>
    <mergeCell ref="B76:B77"/>
    <mergeCell ref="C76:D76"/>
    <mergeCell ref="A1:B1"/>
    <mergeCell ref="A2:A3"/>
    <mergeCell ref="B2:B3"/>
    <mergeCell ref="C2:D2"/>
    <mergeCell ref="A61:A62"/>
    <mergeCell ref="B61:B62"/>
    <mergeCell ref="C61:D61"/>
  </mergeCells>
  <pageMargins left="0.7" right="0.7" top="0.75" bottom="0.75" header="0.3" footer="0.3"/>
  <pageSetup scale="74" fitToWidth="0" fitToHeight="0" orientation="portrait" r:id="rId1"/>
  <customProperties>
    <customPr name="LastActive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4"/>
  <sheetViews>
    <sheetView view="pageBreakPreview" topLeftCell="A46" zoomScale="60" zoomScaleNormal="100" workbookViewId="0">
      <selection activeCell="C68" sqref="C68"/>
    </sheetView>
  </sheetViews>
  <sheetFormatPr defaultColWidth="9" defaultRowHeight="15.5" x14ac:dyDescent="0.35"/>
  <cols>
    <col min="1" max="1" width="16.08984375" style="59" customWidth="1"/>
    <col min="2" max="2" width="46.36328125" style="59" customWidth="1"/>
    <col min="3" max="3" width="22.6328125" style="59" customWidth="1"/>
    <col min="4" max="4" width="17.6328125" style="59" customWidth="1"/>
    <col min="5" max="5" width="20.453125" style="59" customWidth="1"/>
    <col min="6" max="6" width="24.54296875" style="59" customWidth="1"/>
    <col min="7" max="16384" width="9" style="59"/>
  </cols>
  <sheetData>
    <row r="1" spans="1:6" ht="15.65" x14ac:dyDescent="0.3">
      <c r="A1" s="838" t="s">
        <v>1062</v>
      </c>
      <c r="B1" s="838"/>
      <c r="C1" s="838"/>
    </row>
    <row r="2" spans="1:6" ht="15.65" x14ac:dyDescent="0.3">
      <c r="A2" s="839" t="s">
        <v>938</v>
      </c>
      <c r="B2" s="839"/>
      <c r="C2" s="839"/>
    </row>
    <row r="3" spans="1:6" ht="31.25" x14ac:dyDescent="0.3">
      <c r="A3" s="316" t="s">
        <v>0</v>
      </c>
      <c r="B3" s="317" t="s">
        <v>533</v>
      </c>
      <c r="C3" s="318" t="s">
        <v>320</v>
      </c>
      <c r="D3" s="318" t="s">
        <v>701</v>
      </c>
      <c r="E3" s="318" t="s">
        <v>932</v>
      </c>
    </row>
    <row r="4" spans="1:6" ht="15.65" x14ac:dyDescent="0.3">
      <c r="A4" s="107">
        <v>2110100</v>
      </c>
      <c r="B4" s="319" t="s">
        <v>1</v>
      </c>
      <c r="C4" s="277">
        <f>C5</f>
        <v>83840763.003999993</v>
      </c>
      <c r="D4" s="277">
        <f>D5</f>
        <v>88032801.154200003</v>
      </c>
      <c r="E4" s="277">
        <f>E5</f>
        <v>92434441.211910009</v>
      </c>
    </row>
    <row r="5" spans="1:6" ht="15.75" customHeight="1" x14ac:dyDescent="0.3">
      <c r="A5" s="320" t="s">
        <v>98</v>
      </c>
      <c r="B5" s="321" t="s">
        <v>99</v>
      </c>
      <c r="C5" s="280">
        <v>83840763.003999993</v>
      </c>
      <c r="D5" s="280">
        <f t="shared" ref="D5:E35" si="0">1.05*C5</f>
        <v>88032801.154200003</v>
      </c>
      <c r="E5" s="280">
        <f t="shared" si="0"/>
        <v>92434441.211910009</v>
      </c>
      <c r="F5" s="322"/>
    </row>
    <row r="6" spans="1:6" ht="15.65" x14ac:dyDescent="0.3">
      <c r="A6" s="107">
        <v>2210100</v>
      </c>
      <c r="B6" s="323" t="s">
        <v>23</v>
      </c>
      <c r="C6" s="277">
        <f>C7+C8</f>
        <v>418800</v>
      </c>
      <c r="D6" s="277">
        <f>SUM(D7:D8)</f>
        <v>439740</v>
      </c>
      <c r="E6" s="277">
        <f>SUM(E7:E8)</f>
        <v>461727</v>
      </c>
      <c r="F6" s="322"/>
    </row>
    <row r="7" spans="1:6" ht="15.65" x14ac:dyDescent="0.3">
      <c r="A7" s="110" t="s">
        <v>101</v>
      </c>
      <c r="B7" s="278" t="s">
        <v>102</v>
      </c>
      <c r="C7" s="280">
        <v>320400</v>
      </c>
      <c r="D7" s="280">
        <f t="shared" si="0"/>
        <v>336420</v>
      </c>
      <c r="E7" s="280">
        <f t="shared" si="0"/>
        <v>353241</v>
      </c>
      <c r="F7" s="322"/>
    </row>
    <row r="8" spans="1:6" ht="15.65" x14ac:dyDescent="0.3">
      <c r="A8" s="110" t="s">
        <v>103</v>
      </c>
      <c r="B8" s="278" t="s">
        <v>104</v>
      </c>
      <c r="C8" s="280">
        <v>98400</v>
      </c>
      <c r="D8" s="280">
        <f t="shared" si="0"/>
        <v>103320</v>
      </c>
      <c r="E8" s="280">
        <f t="shared" si="0"/>
        <v>108486</v>
      </c>
      <c r="F8" s="322"/>
    </row>
    <row r="9" spans="1:6" ht="15.65" x14ac:dyDescent="0.3">
      <c r="A9" s="107">
        <v>2210200</v>
      </c>
      <c r="B9" s="323" t="s">
        <v>26</v>
      </c>
      <c r="C9" s="277">
        <f>C10+C11+C12</f>
        <v>850000</v>
      </c>
      <c r="D9" s="277">
        <f>SUM(D10:D12)</f>
        <v>892500</v>
      </c>
      <c r="E9" s="277">
        <f>SUM(E10:E12)</f>
        <v>937125.00000000012</v>
      </c>
      <c r="F9" s="322"/>
    </row>
    <row r="10" spans="1:6" ht="31.25" x14ac:dyDescent="0.3">
      <c r="A10" s="110" t="s">
        <v>105</v>
      </c>
      <c r="B10" s="278" t="s">
        <v>106</v>
      </c>
      <c r="C10" s="280">
        <v>250000</v>
      </c>
      <c r="D10" s="280">
        <f t="shared" si="0"/>
        <v>262500</v>
      </c>
      <c r="E10" s="280">
        <f>1.05*D10</f>
        <v>275625</v>
      </c>
      <c r="F10" s="322"/>
    </row>
    <row r="11" spans="1:6" ht="15.65" x14ac:dyDescent="0.3">
      <c r="A11" s="110" t="s">
        <v>107</v>
      </c>
      <c r="B11" s="278" t="s">
        <v>108</v>
      </c>
      <c r="C11" s="280">
        <v>500000.04</v>
      </c>
      <c r="D11" s="280">
        <f t="shared" si="0"/>
        <v>525000.04200000002</v>
      </c>
      <c r="E11" s="280">
        <f t="shared" si="0"/>
        <v>551250.04410000006</v>
      </c>
      <c r="F11" s="322"/>
    </row>
    <row r="12" spans="1:6" ht="15.65" x14ac:dyDescent="0.3">
      <c r="A12" s="110" t="s">
        <v>109</v>
      </c>
      <c r="B12" s="278" t="s">
        <v>29</v>
      </c>
      <c r="C12" s="280">
        <v>99999.96</v>
      </c>
      <c r="D12" s="280">
        <f t="shared" si="0"/>
        <v>104999.95800000001</v>
      </c>
      <c r="E12" s="280">
        <f t="shared" si="0"/>
        <v>110249.95590000002</v>
      </c>
      <c r="F12" s="322"/>
    </row>
    <row r="13" spans="1:6" ht="31.25" x14ac:dyDescent="0.3">
      <c r="A13" s="107">
        <v>2210300</v>
      </c>
      <c r="B13" s="324" t="s">
        <v>30</v>
      </c>
      <c r="C13" s="277">
        <f>C14+C15+C16+C17+C18</f>
        <v>4283140</v>
      </c>
      <c r="D13" s="277">
        <f>SUM(D14:D18)</f>
        <v>4497297</v>
      </c>
      <c r="E13" s="277">
        <f>SUM(E14:E18)</f>
        <v>4722161.8499999996</v>
      </c>
      <c r="F13" s="322"/>
    </row>
    <row r="14" spans="1:6" ht="31.25" x14ac:dyDescent="0.3">
      <c r="A14" s="110" t="s">
        <v>110</v>
      </c>
      <c r="B14" s="278" t="s">
        <v>111</v>
      </c>
      <c r="C14" s="280">
        <v>1200000</v>
      </c>
      <c r="D14" s="280">
        <f t="shared" si="0"/>
        <v>1260000</v>
      </c>
      <c r="E14" s="280">
        <f t="shared" si="0"/>
        <v>1323000</v>
      </c>
      <c r="F14" s="322"/>
    </row>
    <row r="15" spans="1:6" ht="15.65" x14ac:dyDescent="0.3">
      <c r="A15" s="110" t="s">
        <v>112</v>
      </c>
      <c r="B15" s="278" t="s">
        <v>113</v>
      </c>
      <c r="C15" s="280">
        <v>217640</v>
      </c>
      <c r="D15" s="280">
        <f t="shared" si="0"/>
        <v>228522</v>
      </c>
      <c r="E15" s="280">
        <f t="shared" si="0"/>
        <v>239948.1</v>
      </c>
      <c r="F15" s="322"/>
    </row>
    <row r="16" spans="1:6" ht="15.65" x14ac:dyDescent="0.3">
      <c r="A16" s="110" t="s">
        <v>114</v>
      </c>
      <c r="B16" s="278" t="s">
        <v>115</v>
      </c>
      <c r="C16" s="280">
        <v>1075305</v>
      </c>
      <c r="D16" s="280">
        <f t="shared" si="0"/>
        <v>1129070.25</v>
      </c>
      <c r="E16" s="280">
        <f t="shared" si="0"/>
        <v>1185523.7625</v>
      </c>
      <c r="F16" s="322"/>
    </row>
    <row r="17" spans="1:6" ht="15.65" x14ac:dyDescent="0.3">
      <c r="A17" s="110" t="s">
        <v>33</v>
      </c>
      <c r="B17" s="278" t="s">
        <v>116</v>
      </c>
      <c r="C17" s="280">
        <v>1170855</v>
      </c>
      <c r="D17" s="280">
        <f t="shared" si="0"/>
        <v>1229397.75</v>
      </c>
      <c r="E17" s="280">
        <f t="shared" si="0"/>
        <v>1290867.6375</v>
      </c>
      <c r="F17" s="322"/>
    </row>
    <row r="18" spans="1:6" ht="15.65" x14ac:dyDescent="0.3">
      <c r="A18" s="110">
        <v>2210310</v>
      </c>
      <c r="B18" s="278" t="s">
        <v>36</v>
      </c>
      <c r="C18" s="280">
        <v>619340</v>
      </c>
      <c r="D18" s="280">
        <f t="shared" si="0"/>
        <v>650307</v>
      </c>
      <c r="E18" s="280">
        <f t="shared" si="0"/>
        <v>682822.35</v>
      </c>
      <c r="F18" s="322"/>
    </row>
    <row r="19" spans="1:6" ht="31.25" x14ac:dyDescent="0.3">
      <c r="A19" s="112" t="s">
        <v>117</v>
      </c>
      <c r="B19" s="112" t="s">
        <v>118</v>
      </c>
      <c r="C19" s="277">
        <f>C20+C21</f>
        <v>848600</v>
      </c>
      <c r="D19" s="277">
        <f>SUM(D20:D21)</f>
        <v>891030</v>
      </c>
      <c r="E19" s="277">
        <f>SUM(E20:E21)</f>
        <v>935581.5</v>
      </c>
      <c r="F19" s="322"/>
    </row>
    <row r="20" spans="1:6" ht="15.65" x14ac:dyDescent="0.3">
      <c r="A20" s="113" t="s">
        <v>119</v>
      </c>
      <c r="B20" s="113" t="s">
        <v>120</v>
      </c>
      <c r="C20" s="280">
        <v>500000</v>
      </c>
      <c r="D20" s="280">
        <f t="shared" si="0"/>
        <v>525000</v>
      </c>
      <c r="E20" s="280">
        <f t="shared" si="0"/>
        <v>551250</v>
      </c>
      <c r="F20" s="322"/>
    </row>
    <row r="21" spans="1:6" ht="15.65" x14ac:dyDescent="0.3">
      <c r="A21" s="113" t="s">
        <v>121</v>
      </c>
      <c r="B21" s="113" t="s">
        <v>115</v>
      </c>
      <c r="C21" s="280">
        <v>348600</v>
      </c>
      <c r="D21" s="280">
        <f t="shared" si="0"/>
        <v>366030</v>
      </c>
      <c r="E21" s="280">
        <f t="shared" si="0"/>
        <v>384331.5</v>
      </c>
      <c r="F21" s="322"/>
    </row>
    <row r="22" spans="1:6" ht="31.25" x14ac:dyDescent="0.3">
      <c r="A22" s="107">
        <v>2210500</v>
      </c>
      <c r="B22" s="324" t="s">
        <v>38</v>
      </c>
      <c r="C22" s="277">
        <f>C23+C24</f>
        <v>350000</v>
      </c>
      <c r="D22" s="277">
        <f>SUM(D23:D24)</f>
        <v>367500</v>
      </c>
      <c r="E22" s="277">
        <f>SUM(E23:E24)</f>
        <v>385875</v>
      </c>
      <c r="F22" s="322"/>
    </row>
    <row r="23" spans="1:6" ht="31.25" x14ac:dyDescent="0.3">
      <c r="A23" s="110" t="s">
        <v>122</v>
      </c>
      <c r="B23" s="278" t="s">
        <v>123</v>
      </c>
      <c r="C23" s="280">
        <v>0</v>
      </c>
      <c r="D23" s="280">
        <f t="shared" si="0"/>
        <v>0</v>
      </c>
      <c r="E23" s="280">
        <f t="shared" si="0"/>
        <v>0</v>
      </c>
      <c r="F23" s="322"/>
    </row>
    <row r="24" spans="1:6" ht="15.65" x14ac:dyDescent="0.3">
      <c r="A24" s="110" t="s">
        <v>124</v>
      </c>
      <c r="B24" s="278" t="s">
        <v>125</v>
      </c>
      <c r="C24" s="280">
        <v>350000</v>
      </c>
      <c r="D24" s="280">
        <f t="shared" si="0"/>
        <v>367500</v>
      </c>
      <c r="E24" s="280">
        <f t="shared" si="0"/>
        <v>385875</v>
      </c>
      <c r="F24" s="322"/>
    </row>
    <row r="25" spans="1:6" ht="15.65" x14ac:dyDescent="0.3">
      <c r="A25" s="107">
        <v>2210700</v>
      </c>
      <c r="B25" s="324" t="s">
        <v>45</v>
      </c>
      <c r="C25" s="277">
        <f>C26+C27</f>
        <v>1098000</v>
      </c>
      <c r="D25" s="280">
        <f t="shared" si="0"/>
        <v>1152900</v>
      </c>
      <c r="E25" s="280">
        <f t="shared" si="0"/>
        <v>1210545</v>
      </c>
      <c r="F25" s="322"/>
    </row>
    <row r="26" spans="1:6" ht="15.65" x14ac:dyDescent="0.3">
      <c r="A26" s="110" t="s">
        <v>127</v>
      </c>
      <c r="B26" s="278" t="s">
        <v>128</v>
      </c>
      <c r="C26" s="280">
        <v>728000</v>
      </c>
      <c r="D26" s="280">
        <f t="shared" si="0"/>
        <v>764400</v>
      </c>
      <c r="E26" s="280">
        <f t="shared" si="0"/>
        <v>802620</v>
      </c>
      <c r="F26" s="322"/>
    </row>
    <row r="27" spans="1:6" ht="15.65" x14ac:dyDescent="0.3">
      <c r="A27" s="110" t="s">
        <v>129</v>
      </c>
      <c r="B27" s="278" t="s">
        <v>130</v>
      </c>
      <c r="C27" s="280">
        <v>370000</v>
      </c>
      <c r="D27" s="280">
        <f t="shared" si="0"/>
        <v>388500</v>
      </c>
      <c r="E27" s="280">
        <f t="shared" si="0"/>
        <v>407925</v>
      </c>
      <c r="F27" s="322"/>
    </row>
    <row r="28" spans="1:6" ht="15.65" x14ac:dyDescent="0.3">
      <c r="A28" s="107">
        <v>2210800</v>
      </c>
      <c r="B28" s="324" t="s">
        <v>48</v>
      </c>
      <c r="C28" s="277">
        <f>C29+C30</f>
        <v>5996000</v>
      </c>
      <c r="D28" s="277">
        <f>SUM(D29:D30)</f>
        <v>6295800</v>
      </c>
      <c r="E28" s="277">
        <f>SUM(E29:E30)</f>
        <v>6610590</v>
      </c>
      <c r="F28" s="322"/>
    </row>
    <row r="29" spans="1:6" ht="15.65" x14ac:dyDescent="0.3">
      <c r="A29" s="110" t="s">
        <v>131</v>
      </c>
      <c r="B29" s="278" t="s">
        <v>132</v>
      </c>
      <c r="C29" s="280">
        <v>3800000</v>
      </c>
      <c r="D29" s="280">
        <f t="shared" si="0"/>
        <v>3990000</v>
      </c>
      <c r="E29" s="280">
        <f t="shared" si="0"/>
        <v>4189500</v>
      </c>
      <c r="F29" s="322"/>
    </row>
    <row r="30" spans="1:6" ht="15.65" x14ac:dyDescent="0.3">
      <c r="A30" s="110" t="s">
        <v>133</v>
      </c>
      <c r="B30" s="278" t="s">
        <v>134</v>
      </c>
      <c r="C30" s="280">
        <v>2196000</v>
      </c>
      <c r="D30" s="280">
        <f t="shared" si="0"/>
        <v>2305800</v>
      </c>
      <c r="E30" s="280">
        <f t="shared" si="0"/>
        <v>2421090</v>
      </c>
      <c r="F30" s="322"/>
    </row>
    <row r="31" spans="1:6" ht="15.65" x14ac:dyDescent="0.3">
      <c r="A31" s="114">
        <v>2210900</v>
      </c>
      <c r="B31" s="282" t="s">
        <v>136</v>
      </c>
      <c r="C31" s="277">
        <f>C32</f>
        <v>2378503</v>
      </c>
      <c r="D31" s="277">
        <f>SUM(D32)</f>
        <v>2497428.15</v>
      </c>
      <c r="E31" s="277">
        <f>SUM(E32)</f>
        <v>2622299.5575000001</v>
      </c>
      <c r="F31" s="322"/>
    </row>
    <row r="32" spans="1:6" ht="15.65" x14ac:dyDescent="0.3">
      <c r="A32" s="110" t="s">
        <v>166</v>
      </c>
      <c r="B32" s="278" t="s">
        <v>167</v>
      </c>
      <c r="C32" s="280">
        <v>2378503</v>
      </c>
      <c r="D32" s="280">
        <f t="shared" si="0"/>
        <v>2497428.15</v>
      </c>
      <c r="E32" s="280">
        <f t="shared" si="0"/>
        <v>2622299.5575000001</v>
      </c>
      <c r="F32" s="322"/>
    </row>
    <row r="33" spans="1:6" ht="15.65" x14ac:dyDescent="0.3">
      <c r="A33" s="107">
        <v>2211100</v>
      </c>
      <c r="B33" s="324" t="s">
        <v>56</v>
      </c>
      <c r="C33" s="277">
        <f>C34+C35</f>
        <v>228317</v>
      </c>
      <c r="D33" s="277">
        <f>SUM(D34:D35)</f>
        <v>239732.85000000003</v>
      </c>
      <c r="E33" s="277">
        <f>SUM(E34:E35)</f>
        <v>251719.49250000005</v>
      </c>
      <c r="F33" s="322"/>
    </row>
    <row r="34" spans="1:6" ht="15.65" x14ac:dyDescent="0.3">
      <c r="A34" s="110" t="s">
        <v>138</v>
      </c>
      <c r="B34" s="278" t="s">
        <v>139</v>
      </c>
      <c r="C34" s="280">
        <v>200123</v>
      </c>
      <c r="D34" s="280">
        <f t="shared" si="0"/>
        <v>210129.15000000002</v>
      </c>
      <c r="E34" s="280">
        <f t="shared" si="0"/>
        <v>220635.60750000004</v>
      </c>
      <c r="F34" s="322"/>
    </row>
    <row r="35" spans="1:6" ht="15.65" x14ac:dyDescent="0.3">
      <c r="A35" s="110" t="s">
        <v>140</v>
      </c>
      <c r="B35" s="278" t="s">
        <v>141</v>
      </c>
      <c r="C35" s="280">
        <v>28194</v>
      </c>
      <c r="D35" s="280">
        <f t="shared" si="0"/>
        <v>29603.7</v>
      </c>
      <c r="E35" s="280">
        <f t="shared" si="0"/>
        <v>31083.885000000002</v>
      </c>
      <c r="F35" s="322"/>
    </row>
    <row r="36" spans="1:6" ht="15.65" x14ac:dyDescent="0.3">
      <c r="A36" s="107">
        <v>2211200</v>
      </c>
      <c r="B36" s="324" t="s">
        <v>60</v>
      </c>
      <c r="C36" s="277">
        <f>C37</f>
        <v>8999634</v>
      </c>
      <c r="D36" s="277">
        <f>D37</f>
        <v>9449615.7000000011</v>
      </c>
      <c r="E36" s="277">
        <f>E37</f>
        <v>9922096.4850000013</v>
      </c>
      <c r="F36" s="322"/>
    </row>
    <row r="37" spans="1:6" ht="15.65" x14ac:dyDescent="0.3">
      <c r="A37" s="110" t="s">
        <v>142</v>
      </c>
      <c r="B37" s="278" t="s">
        <v>143</v>
      </c>
      <c r="C37" s="289">
        <f>-1000000+10000000-366</f>
        <v>8999634</v>
      </c>
      <c r="D37" s="280">
        <f t="shared" ref="D37:E65" si="1">1.05*C37</f>
        <v>9449615.7000000011</v>
      </c>
      <c r="E37" s="280">
        <f t="shared" si="1"/>
        <v>9922096.4850000013</v>
      </c>
      <c r="F37" s="322"/>
    </row>
    <row r="38" spans="1:6" ht="15.65" x14ac:dyDescent="0.3">
      <c r="A38" s="107">
        <v>2211300</v>
      </c>
      <c r="B38" s="324" t="s">
        <v>62</v>
      </c>
      <c r="C38" s="277">
        <f>C39+C40+C41+C42</f>
        <v>2486000</v>
      </c>
      <c r="D38" s="277">
        <f>SUM(D39:D42)</f>
        <v>2610300</v>
      </c>
      <c r="E38" s="277">
        <f>SUM(E39:E42)</f>
        <v>2740815</v>
      </c>
      <c r="F38" s="322"/>
    </row>
    <row r="39" spans="1:6" ht="15.65" x14ac:dyDescent="0.3">
      <c r="A39" s="110" t="s">
        <v>144</v>
      </c>
      <c r="B39" s="278" t="s">
        <v>64</v>
      </c>
      <c r="C39" s="280">
        <v>0</v>
      </c>
      <c r="D39" s="280">
        <f t="shared" si="1"/>
        <v>0</v>
      </c>
      <c r="E39" s="280">
        <f t="shared" si="1"/>
        <v>0</v>
      </c>
      <c r="F39" s="322"/>
    </row>
    <row r="40" spans="1:6" ht="15.65" x14ac:dyDescent="0.3">
      <c r="A40" s="110" t="s">
        <v>145</v>
      </c>
      <c r="B40" s="278" t="s">
        <v>146</v>
      </c>
      <c r="C40" s="280">
        <v>1000000</v>
      </c>
      <c r="D40" s="280">
        <f t="shared" si="1"/>
        <v>1050000</v>
      </c>
      <c r="E40" s="280">
        <f t="shared" si="1"/>
        <v>1102500</v>
      </c>
      <c r="F40" s="322"/>
    </row>
    <row r="41" spans="1:6" ht="15.65" x14ac:dyDescent="0.3">
      <c r="A41" s="110">
        <v>2211310</v>
      </c>
      <c r="B41" s="325" t="s">
        <v>534</v>
      </c>
      <c r="C41" s="280">
        <v>1486000</v>
      </c>
      <c r="D41" s="280">
        <f t="shared" si="1"/>
        <v>1560300</v>
      </c>
      <c r="E41" s="280">
        <f t="shared" si="1"/>
        <v>1638315</v>
      </c>
      <c r="F41" s="322"/>
    </row>
    <row r="42" spans="1:6" ht="15.65" x14ac:dyDescent="0.3">
      <c r="A42" s="110">
        <v>2210104</v>
      </c>
      <c r="B42" s="325" t="s">
        <v>147</v>
      </c>
      <c r="C42" s="289">
        <v>0</v>
      </c>
      <c r="D42" s="280">
        <f t="shared" si="1"/>
        <v>0</v>
      </c>
      <c r="E42" s="280">
        <f t="shared" si="1"/>
        <v>0</v>
      </c>
      <c r="F42" s="322"/>
    </row>
    <row r="43" spans="1:6" ht="31.25" x14ac:dyDescent="0.3">
      <c r="A43" s="107">
        <v>2220100</v>
      </c>
      <c r="B43" s="324" t="s">
        <v>71</v>
      </c>
      <c r="C43" s="277">
        <f>C44</f>
        <v>8725000</v>
      </c>
      <c r="D43" s="277">
        <f>D44</f>
        <v>9161250</v>
      </c>
      <c r="E43" s="277">
        <f>E44</f>
        <v>9619312.5</v>
      </c>
      <c r="F43" s="322"/>
    </row>
    <row r="44" spans="1:6" ht="15.65" x14ac:dyDescent="0.3">
      <c r="A44" s="110" t="s">
        <v>148</v>
      </c>
      <c r="B44" s="278" t="s">
        <v>72</v>
      </c>
      <c r="C44" s="280">
        <f>-2000000+10725000</f>
        <v>8725000</v>
      </c>
      <c r="D44" s="280">
        <f t="shared" si="1"/>
        <v>9161250</v>
      </c>
      <c r="E44" s="280">
        <f t="shared" si="1"/>
        <v>9619312.5</v>
      </c>
      <c r="F44" s="322"/>
    </row>
    <row r="45" spans="1:6" ht="15.65" x14ac:dyDescent="0.3">
      <c r="A45" s="114">
        <v>2220200</v>
      </c>
      <c r="B45" s="326" t="s">
        <v>73</v>
      </c>
      <c r="C45" s="277">
        <f>C46+C47</f>
        <v>857943</v>
      </c>
      <c r="D45" s="277">
        <f>SUM(D46:D47)</f>
        <v>900840.15</v>
      </c>
      <c r="E45" s="277">
        <f>SUM(E46:E47)</f>
        <v>945882.15750000009</v>
      </c>
      <c r="F45" s="322"/>
    </row>
    <row r="46" spans="1:6" ht="31.25" x14ac:dyDescent="0.3">
      <c r="A46" s="110">
        <v>2220201</v>
      </c>
      <c r="B46" s="325" t="s">
        <v>74</v>
      </c>
      <c r="C46" s="280">
        <v>0</v>
      </c>
      <c r="D46" s="280">
        <f t="shared" si="1"/>
        <v>0</v>
      </c>
      <c r="E46" s="280">
        <f t="shared" si="1"/>
        <v>0</v>
      </c>
      <c r="F46" s="322"/>
    </row>
    <row r="47" spans="1:6" ht="31.25" x14ac:dyDescent="0.3">
      <c r="A47" s="110">
        <v>2220210</v>
      </c>
      <c r="B47" s="315" t="s">
        <v>77</v>
      </c>
      <c r="C47" s="280">
        <v>857943</v>
      </c>
      <c r="D47" s="280">
        <f t="shared" si="1"/>
        <v>900840.15</v>
      </c>
      <c r="E47" s="280">
        <f t="shared" si="1"/>
        <v>945882.15750000009</v>
      </c>
      <c r="F47" s="322"/>
    </row>
    <row r="48" spans="1:6" ht="31.25" x14ac:dyDescent="0.3">
      <c r="A48" s="107">
        <v>3111000</v>
      </c>
      <c r="B48" s="324" t="s">
        <v>82</v>
      </c>
      <c r="C48" s="277">
        <f>C49+C50</f>
        <v>0</v>
      </c>
      <c r="D48" s="280">
        <f t="shared" si="1"/>
        <v>0</v>
      </c>
      <c r="E48" s="280">
        <f t="shared" si="1"/>
        <v>0</v>
      </c>
      <c r="F48" s="322"/>
    </row>
    <row r="49" spans="1:6" ht="15.65" x14ac:dyDescent="0.3">
      <c r="A49" s="110" t="s">
        <v>153</v>
      </c>
      <c r="B49" s="278" t="s">
        <v>83</v>
      </c>
      <c r="C49" s="280">
        <v>0</v>
      </c>
      <c r="D49" s="280">
        <f t="shared" si="1"/>
        <v>0</v>
      </c>
      <c r="E49" s="280">
        <f t="shared" si="1"/>
        <v>0</v>
      </c>
      <c r="F49" s="322"/>
    </row>
    <row r="50" spans="1:6" ht="31.25" x14ac:dyDescent="0.3">
      <c r="A50" s="110">
        <v>3111002</v>
      </c>
      <c r="B50" s="315" t="s">
        <v>84</v>
      </c>
      <c r="C50" s="280">
        <v>0</v>
      </c>
      <c r="D50" s="280">
        <f t="shared" si="1"/>
        <v>0</v>
      </c>
      <c r="E50" s="280">
        <f t="shared" si="1"/>
        <v>0</v>
      </c>
      <c r="F50" s="322"/>
    </row>
    <row r="51" spans="1:6" ht="15.65" x14ac:dyDescent="0.3">
      <c r="A51" s="114"/>
      <c r="B51" s="282" t="s">
        <v>156</v>
      </c>
      <c r="C51" s="277">
        <f>C48+C45+C43+C38+C36+C33+C31+C28+C25+C22+C19+C13+C9+C6+C4</f>
        <v>121360700.00399999</v>
      </c>
      <c r="D51" s="277">
        <f>D48+D45+D43+D38+D36+D33+D31+D28+D25+D22+D19+D13+D9+D6+D4</f>
        <v>127428735.00420001</v>
      </c>
      <c r="E51" s="277">
        <f>E48+E45+E43+E38+E36+E33+E31+E28+E25+E22+E19+E13+E9+E6+E4</f>
        <v>133800171.75441001</v>
      </c>
      <c r="F51" s="322"/>
    </row>
    <row r="52" spans="1:6" ht="15.65" x14ac:dyDescent="0.3">
      <c r="A52" s="114"/>
      <c r="B52" s="282" t="s">
        <v>157</v>
      </c>
      <c r="C52" s="277">
        <v>0</v>
      </c>
      <c r="D52" s="277">
        <v>0</v>
      </c>
      <c r="E52" s="277">
        <v>0</v>
      </c>
      <c r="F52" s="322">
        <f>F51-C51</f>
        <v>-121360700.00399999</v>
      </c>
    </row>
    <row r="53" spans="1:6" ht="15.65" x14ac:dyDescent="0.3">
      <c r="A53" s="114"/>
      <c r="B53" s="282" t="s">
        <v>89</v>
      </c>
      <c r="C53" s="277">
        <f>C51-C52</f>
        <v>121360700.00399999</v>
      </c>
      <c r="D53" s="277">
        <f>D51-D52</f>
        <v>127428735.00420001</v>
      </c>
      <c r="E53" s="277">
        <f>E51-E52</f>
        <v>133800171.75441001</v>
      </c>
      <c r="F53" s="322"/>
    </row>
    <row r="54" spans="1:6" ht="15.65" x14ac:dyDescent="0.3">
      <c r="B54" s="114" t="s">
        <v>158</v>
      </c>
      <c r="C54" s="277"/>
      <c r="D54" s="280">
        <f t="shared" si="1"/>
        <v>0</v>
      </c>
      <c r="E54" s="280">
        <f t="shared" si="1"/>
        <v>0</v>
      </c>
      <c r="F54" s="322"/>
    </row>
    <row r="55" spans="1:6" ht="15.65" x14ac:dyDescent="0.3">
      <c r="A55" s="110">
        <v>3110302</v>
      </c>
      <c r="B55" s="278" t="s">
        <v>1006</v>
      </c>
      <c r="C55" s="280">
        <v>0</v>
      </c>
      <c r="D55" s="280">
        <f t="shared" si="1"/>
        <v>0</v>
      </c>
      <c r="E55" s="280">
        <f t="shared" si="1"/>
        <v>0</v>
      </c>
      <c r="F55" s="322"/>
    </row>
    <row r="56" spans="1:6" ht="15.65" x14ac:dyDescent="0.3">
      <c r="A56" s="110">
        <v>3111402</v>
      </c>
      <c r="B56" s="110" t="s">
        <v>712</v>
      </c>
      <c r="C56" s="280">
        <v>10000000</v>
      </c>
      <c r="D56" s="280">
        <f t="shared" si="1"/>
        <v>10500000</v>
      </c>
      <c r="E56" s="280">
        <f t="shared" si="1"/>
        <v>11025000</v>
      </c>
      <c r="F56" s="322"/>
    </row>
    <row r="57" spans="1:6" ht="15.65" x14ac:dyDescent="0.3">
      <c r="A57" s="110">
        <v>3110601</v>
      </c>
      <c r="B57" s="110" t="s">
        <v>713</v>
      </c>
      <c r="C57" s="289">
        <f>451159015-60000000-40000000-51159015-15500000+40000000</f>
        <v>324500000</v>
      </c>
      <c r="D57" s="280">
        <f t="shared" si="1"/>
        <v>340725000</v>
      </c>
      <c r="E57" s="280">
        <f t="shared" si="1"/>
        <v>357761250</v>
      </c>
      <c r="F57" s="322"/>
    </row>
    <row r="58" spans="1:6" ht="15.65" x14ac:dyDescent="0.3">
      <c r="A58" s="110">
        <v>3110604</v>
      </c>
      <c r="B58" s="110" t="s">
        <v>714</v>
      </c>
      <c r="C58" s="280">
        <v>0</v>
      </c>
      <c r="D58" s="280">
        <f t="shared" si="1"/>
        <v>0</v>
      </c>
      <c r="E58" s="280">
        <f t="shared" si="1"/>
        <v>0</v>
      </c>
      <c r="F58" s="322"/>
    </row>
    <row r="59" spans="1:6" ht="15.65" x14ac:dyDescent="0.3">
      <c r="A59" s="110">
        <v>3110504</v>
      </c>
      <c r="B59" s="110" t="s">
        <v>715</v>
      </c>
      <c r="C59" s="280">
        <v>30000000</v>
      </c>
      <c r="D59" s="280">
        <f t="shared" si="1"/>
        <v>31500000</v>
      </c>
      <c r="E59" s="280">
        <f t="shared" si="1"/>
        <v>33075000</v>
      </c>
      <c r="F59" s="322"/>
    </row>
    <row r="60" spans="1:6" ht="15.65" x14ac:dyDescent="0.3">
      <c r="A60" s="110">
        <v>3111120</v>
      </c>
      <c r="B60" s="110" t="s">
        <v>716</v>
      </c>
      <c r="C60" s="280">
        <v>0</v>
      </c>
      <c r="D60" s="280">
        <f t="shared" si="1"/>
        <v>0</v>
      </c>
      <c r="E60" s="280">
        <f t="shared" si="1"/>
        <v>0</v>
      </c>
      <c r="F60" s="322"/>
    </row>
    <row r="61" spans="1:6" ht="15.65" x14ac:dyDescent="0.3">
      <c r="A61" s="110">
        <v>3110399</v>
      </c>
      <c r="B61" s="110" t="s">
        <v>717</v>
      </c>
      <c r="C61" s="280">
        <v>0</v>
      </c>
      <c r="D61" s="280">
        <f t="shared" si="1"/>
        <v>0</v>
      </c>
      <c r="E61" s="280">
        <f t="shared" si="1"/>
        <v>0</v>
      </c>
      <c r="F61" s="322"/>
    </row>
    <row r="62" spans="1:6" ht="15.65" x14ac:dyDescent="0.3">
      <c r="A62" s="110">
        <v>3110501</v>
      </c>
      <c r="B62" s="110" t="s">
        <v>718</v>
      </c>
      <c r="C62" s="280">
        <v>20000000</v>
      </c>
      <c r="D62" s="280">
        <f t="shared" si="1"/>
        <v>21000000</v>
      </c>
      <c r="E62" s="280">
        <f t="shared" si="1"/>
        <v>22050000</v>
      </c>
      <c r="F62" s="322"/>
    </row>
    <row r="63" spans="1:6" ht="15.65" x14ac:dyDescent="0.3">
      <c r="A63" s="110" t="s">
        <v>1063</v>
      </c>
      <c r="B63" s="110" t="s">
        <v>147</v>
      </c>
      <c r="C63" s="280">
        <f>76981788-38490894</f>
        <v>38490894</v>
      </c>
      <c r="D63" s="280">
        <f t="shared" si="1"/>
        <v>40415438.700000003</v>
      </c>
      <c r="E63" s="280">
        <f t="shared" si="1"/>
        <v>42436210.635000005</v>
      </c>
      <c r="F63" s="322"/>
    </row>
    <row r="64" spans="1:6" ht="15.65" x14ac:dyDescent="0.3">
      <c r="A64" s="110">
        <v>3110499</v>
      </c>
      <c r="B64" s="110" t="s">
        <v>719</v>
      </c>
      <c r="C64" s="280">
        <v>0</v>
      </c>
      <c r="D64" s="280">
        <f t="shared" si="1"/>
        <v>0</v>
      </c>
      <c r="E64" s="280">
        <f t="shared" si="1"/>
        <v>0</v>
      </c>
      <c r="F64" s="322"/>
    </row>
    <row r="65" spans="1:6" ht="15.65" x14ac:dyDescent="0.3">
      <c r="A65" s="110">
        <v>2640503</v>
      </c>
      <c r="B65" s="110" t="s">
        <v>1064</v>
      </c>
      <c r="C65" s="280">
        <v>184554999</v>
      </c>
      <c r="D65" s="280">
        <f t="shared" si="1"/>
        <v>193782748.95000002</v>
      </c>
      <c r="E65" s="280">
        <f t="shared" si="1"/>
        <v>203471886.39750004</v>
      </c>
      <c r="F65" s="322"/>
    </row>
    <row r="66" spans="1:6" ht="15.65" x14ac:dyDescent="0.3">
      <c r="A66" s="110"/>
      <c r="B66" s="114" t="s">
        <v>160</v>
      </c>
      <c r="C66" s="277">
        <f>SUM(C55:C65)</f>
        <v>607545893</v>
      </c>
      <c r="D66" s="327">
        <f>SUM(D55:D65)</f>
        <v>637923187.64999998</v>
      </c>
      <c r="E66" s="327">
        <f>SUM(E55:E65)</f>
        <v>669819347.03250003</v>
      </c>
      <c r="F66" s="322"/>
    </row>
    <row r="67" spans="1:6" ht="16.25" x14ac:dyDescent="0.35">
      <c r="A67" s="110"/>
      <c r="B67" s="728" t="s">
        <v>1277</v>
      </c>
      <c r="C67" s="734">
        <f>C66+C53</f>
        <v>728906593.00399995</v>
      </c>
      <c r="D67" s="734">
        <f t="shared" ref="D67:E67" si="2">D66+D53</f>
        <v>765351922.65419996</v>
      </c>
      <c r="E67" s="734">
        <f t="shared" si="2"/>
        <v>803619518.78691006</v>
      </c>
      <c r="F67" s="322"/>
    </row>
    <row r="68" spans="1:6" ht="16.25" x14ac:dyDescent="0.35">
      <c r="B68" s="728" t="s">
        <v>1193</v>
      </c>
      <c r="C68" s="735">
        <f>'Local Rev.'!D76+'Local Rev.'!D84</f>
        <v>149795088.26417127</v>
      </c>
      <c r="D68" s="734">
        <f t="shared" ref="D68" si="3">1.05*C68</f>
        <v>157284842.67737985</v>
      </c>
      <c r="E68" s="734">
        <f t="shared" ref="E68" si="4">1.05*D68</f>
        <v>165149084.81124884</v>
      </c>
    </row>
    <row r="69" spans="1:6" ht="16.25" x14ac:dyDescent="0.35">
      <c r="B69" s="728" t="s">
        <v>1278</v>
      </c>
      <c r="C69" s="736">
        <f>C67-C68</f>
        <v>579111504.73982871</v>
      </c>
      <c r="D69" s="736">
        <f t="shared" ref="D69:E69" si="5">D67-D68</f>
        <v>608067079.97682011</v>
      </c>
      <c r="E69" s="736">
        <f t="shared" si="5"/>
        <v>638470433.97566128</v>
      </c>
    </row>
    <row r="72" spans="1:6" ht="15.65" x14ac:dyDescent="0.3">
      <c r="C72" s="784">
        <v>597545893</v>
      </c>
    </row>
    <row r="74" spans="1:6" ht="15.65" x14ac:dyDescent="0.3">
      <c r="C74" s="785">
        <f>C66-C72</f>
        <v>10000000</v>
      </c>
    </row>
  </sheetData>
  <protectedRanges>
    <protectedRange sqref="B63" name="Range1_13_1_1_1_3_1_1"/>
    <protectedRange sqref="B56" name="Range1_19_1_1_1_3_1_1"/>
    <protectedRange sqref="B60" name="Range1_24_1_1_1_3_1_1"/>
    <protectedRange sqref="B55" name="Range1_16_1_1_1_1_3_1_1"/>
  </protectedRanges>
  <mergeCells count="2">
    <mergeCell ref="A1:C1"/>
    <mergeCell ref="A2:C2"/>
  </mergeCells>
  <pageMargins left="0.7" right="0.7" top="0.75" bottom="0.75" header="0.3" footer="0.3"/>
  <pageSetup scale="73" orientation="portrait" r:id="rId1"/>
  <colBreaks count="1" manualBreakCount="1">
    <brk id="5" max="1048575" man="1"/>
  </colBreaks>
  <customProperties>
    <customPr name="LastActive" r:id="rId2"/>
  </customProperties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87"/>
  <sheetViews>
    <sheetView view="pageBreakPreview" topLeftCell="A1225" zoomScale="60" zoomScaleNormal="130" workbookViewId="0">
      <selection activeCell="C1286" sqref="C1286"/>
    </sheetView>
  </sheetViews>
  <sheetFormatPr defaultColWidth="9.1796875" defaultRowHeight="15.5" x14ac:dyDescent="0.35"/>
  <cols>
    <col min="1" max="1" width="11.54296875" style="334" customWidth="1"/>
    <col min="2" max="2" width="54.81640625" style="415" customWidth="1"/>
    <col min="3" max="3" width="18.81640625" style="331" customWidth="1"/>
    <col min="4" max="4" width="21.1796875" style="331" customWidth="1"/>
    <col min="5" max="5" width="19" style="331" customWidth="1"/>
    <col min="6" max="6" width="22.1796875" style="333" customWidth="1"/>
    <col min="7" max="7" width="19.81640625" style="334" customWidth="1"/>
    <col min="8" max="8" width="19.453125" style="334" customWidth="1"/>
    <col min="9" max="256" width="9.1796875" style="334"/>
    <col min="257" max="257" width="11.54296875" style="334" customWidth="1"/>
    <col min="258" max="258" width="47.54296875" style="334" customWidth="1"/>
    <col min="259" max="259" width="18.81640625" style="334" customWidth="1"/>
    <col min="260" max="260" width="21.1796875" style="334" customWidth="1"/>
    <col min="261" max="261" width="19" style="334" customWidth="1"/>
    <col min="262" max="262" width="22.1796875" style="334" customWidth="1"/>
    <col min="263" max="263" width="19.81640625" style="334" customWidth="1"/>
    <col min="264" max="264" width="19.453125" style="334" customWidth="1"/>
    <col min="265" max="512" width="9.1796875" style="334"/>
    <col min="513" max="513" width="11.54296875" style="334" customWidth="1"/>
    <col min="514" max="514" width="47.54296875" style="334" customWidth="1"/>
    <col min="515" max="515" width="18.81640625" style="334" customWidth="1"/>
    <col min="516" max="516" width="21.1796875" style="334" customWidth="1"/>
    <col min="517" max="517" width="19" style="334" customWidth="1"/>
    <col min="518" max="518" width="22.1796875" style="334" customWidth="1"/>
    <col min="519" max="519" width="19.81640625" style="334" customWidth="1"/>
    <col min="520" max="520" width="19.453125" style="334" customWidth="1"/>
    <col min="521" max="768" width="9.1796875" style="334"/>
    <col min="769" max="769" width="11.54296875" style="334" customWidth="1"/>
    <col min="770" max="770" width="47.54296875" style="334" customWidth="1"/>
    <col min="771" max="771" width="18.81640625" style="334" customWidth="1"/>
    <col min="772" max="772" width="21.1796875" style="334" customWidth="1"/>
    <col min="773" max="773" width="19" style="334" customWidth="1"/>
    <col min="774" max="774" width="22.1796875" style="334" customWidth="1"/>
    <col min="775" max="775" width="19.81640625" style="334" customWidth="1"/>
    <col min="776" max="776" width="19.453125" style="334" customWidth="1"/>
    <col min="777" max="1024" width="9.1796875" style="334"/>
    <col min="1025" max="1025" width="11.54296875" style="334" customWidth="1"/>
    <col min="1026" max="1026" width="47.54296875" style="334" customWidth="1"/>
    <col min="1027" max="1027" width="18.81640625" style="334" customWidth="1"/>
    <col min="1028" max="1028" width="21.1796875" style="334" customWidth="1"/>
    <col min="1029" max="1029" width="19" style="334" customWidth="1"/>
    <col min="1030" max="1030" width="22.1796875" style="334" customWidth="1"/>
    <col min="1031" max="1031" width="19.81640625" style="334" customWidth="1"/>
    <col min="1032" max="1032" width="19.453125" style="334" customWidth="1"/>
    <col min="1033" max="1280" width="9.1796875" style="334"/>
    <col min="1281" max="1281" width="11.54296875" style="334" customWidth="1"/>
    <col min="1282" max="1282" width="47.54296875" style="334" customWidth="1"/>
    <col min="1283" max="1283" width="18.81640625" style="334" customWidth="1"/>
    <col min="1284" max="1284" width="21.1796875" style="334" customWidth="1"/>
    <col min="1285" max="1285" width="19" style="334" customWidth="1"/>
    <col min="1286" max="1286" width="22.1796875" style="334" customWidth="1"/>
    <col min="1287" max="1287" width="19.81640625" style="334" customWidth="1"/>
    <col min="1288" max="1288" width="19.453125" style="334" customWidth="1"/>
    <col min="1289" max="1536" width="9.1796875" style="334"/>
    <col min="1537" max="1537" width="11.54296875" style="334" customWidth="1"/>
    <col min="1538" max="1538" width="47.54296875" style="334" customWidth="1"/>
    <col min="1539" max="1539" width="18.81640625" style="334" customWidth="1"/>
    <col min="1540" max="1540" width="21.1796875" style="334" customWidth="1"/>
    <col min="1541" max="1541" width="19" style="334" customWidth="1"/>
    <col min="1542" max="1542" width="22.1796875" style="334" customWidth="1"/>
    <col min="1543" max="1543" width="19.81640625" style="334" customWidth="1"/>
    <col min="1544" max="1544" width="19.453125" style="334" customWidth="1"/>
    <col min="1545" max="1792" width="9.1796875" style="334"/>
    <col min="1793" max="1793" width="11.54296875" style="334" customWidth="1"/>
    <col min="1794" max="1794" width="47.54296875" style="334" customWidth="1"/>
    <col min="1795" max="1795" width="18.81640625" style="334" customWidth="1"/>
    <col min="1796" max="1796" width="21.1796875" style="334" customWidth="1"/>
    <col min="1797" max="1797" width="19" style="334" customWidth="1"/>
    <col min="1798" max="1798" width="22.1796875" style="334" customWidth="1"/>
    <col min="1799" max="1799" width="19.81640625" style="334" customWidth="1"/>
    <col min="1800" max="1800" width="19.453125" style="334" customWidth="1"/>
    <col min="1801" max="2048" width="9.1796875" style="334"/>
    <col min="2049" max="2049" width="11.54296875" style="334" customWidth="1"/>
    <col min="2050" max="2050" width="47.54296875" style="334" customWidth="1"/>
    <col min="2051" max="2051" width="18.81640625" style="334" customWidth="1"/>
    <col min="2052" max="2052" width="21.1796875" style="334" customWidth="1"/>
    <col min="2053" max="2053" width="19" style="334" customWidth="1"/>
    <col min="2054" max="2054" width="22.1796875" style="334" customWidth="1"/>
    <col min="2055" max="2055" width="19.81640625" style="334" customWidth="1"/>
    <col min="2056" max="2056" width="19.453125" style="334" customWidth="1"/>
    <col min="2057" max="2304" width="9.1796875" style="334"/>
    <col min="2305" max="2305" width="11.54296875" style="334" customWidth="1"/>
    <col min="2306" max="2306" width="47.54296875" style="334" customWidth="1"/>
    <col min="2307" max="2307" width="18.81640625" style="334" customWidth="1"/>
    <col min="2308" max="2308" width="21.1796875" style="334" customWidth="1"/>
    <col min="2309" max="2309" width="19" style="334" customWidth="1"/>
    <col min="2310" max="2310" width="22.1796875" style="334" customWidth="1"/>
    <col min="2311" max="2311" width="19.81640625" style="334" customWidth="1"/>
    <col min="2312" max="2312" width="19.453125" style="334" customWidth="1"/>
    <col min="2313" max="2560" width="9.1796875" style="334"/>
    <col min="2561" max="2561" width="11.54296875" style="334" customWidth="1"/>
    <col min="2562" max="2562" width="47.54296875" style="334" customWidth="1"/>
    <col min="2563" max="2563" width="18.81640625" style="334" customWidth="1"/>
    <col min="2564" max="2564" width="21.1796875" style="334" customWidth="1"/>
    <col min="2565" max="2565" width="19" style="334" customWidth="1"/>
    <col min="2566" max="2566" width="22.1796875" style="334" customWidth="1"/>
    <col min="2567" max="2567" width="19.81640625" style="334" customWidth="1"/>
    <col min="2568" max="2568" width="19.453125" style="334" customWidth="1"/>
    <col min="2569" max="2816" width="9.1796875" style="334"/>
    <col min="2817" max="2817" width="11.54296875" style="334" customWidth="1"/>
    <col min="2818" max="2818" width="47.54296875" style="334" customWidth="1"/>
    <col min="2819" max="2819" width="18.81640625" style="334" customWidth="1"/>
    <col min="2820" max="2820" width="21.1796875" style="334" customWidth="1"/>
    <col min="2821" max="2821" width="19" style="334" customWidth="1"/>
    <col min="2822" max="2822" width="22.1796875" style="334" customWidth="1"/>
    <col min="2823" max="2823" width="19.81640625" style="334" customWidth="1"/>
    <col min="2824" max="2824" width="19.453125" style="334" customWidth="1"/>
    <col min="2825" max="3072" width="9.1796875" style="334"/>
    <col min="3073" max="3073" width="11.54296875" style="334" customWidth="1"/>
    <col min="3074" max="3074" width="47.54296875" style="334" customWidth="1"/>
    <col min="3075" max="3075" width="18.81640625" style="334" customWidth="1"/>
    <col min="3076" max="3076" width="21.1796875" style="334" customWidth="1"/>
    <col min="3077" max="3077" width="19" style="334" customWidth="1"/>
    <col min="3078" max="3078" width="22.1796875" style="334" customWidth="1"/>
    <col min="3079" max="3079" width="19.81640625" style="334" customWidth="1"/>
    <col min="3080" max="3080" width="19.453125" style="334" customWidth="1"/>
    <col min="3081" max="3328" width="9.1796875" style="334"/>
    <col min="3329" max="3329" width="11.54296875" style="334" customWidth="1"/>
    <col min="3330" max="3330" width="47.54296875" style="334" customWidth="1"/>
    <col min="3331" max="3331" width="18.81640625" style="334" customWidth="1"/>
    <col min="3332" max="3332" width="21.1796875" style="334" customWidth="1"/>
    <col min="3333" max="3333" width="19" style="334" customWidth="1"/>
    <col min="3334" max="3334" width="22.1796875" style="334" customWidth="1"/>
    <col min="3335" max="3335" width="19.81640625" style="334" customWidth="1"/>
    <col min="3336" max="3336" width="19.453125" style="334" customWidth="1"/>
    <col min="3337" max="3584" width="9.1796875" style="334"/>
    <col min="3585" max="3585" width="11.54296875" style="334" customWidth="1"/>
    <col min="3586" max="3586" width="47.54296875" style="334" customWidth="1"/>
    <col min="3587" max="3587" width="18.81640625" style="334" customWidth="1"/>
    <col min="3588" max="3588" width="21.1796875" style="334" customWidth="1"/>
    <col min="3589" max="3589" width="19" style="334" customWidth="1"/>
    <col min="3590" max="3590" width="22.1796875" style="334" customWidth="1"/>
    <col min="3591" max="3591" width="19.81640625" style="334" customWidth="1"/>
    <col min="3592" max="3592" width="19.453125" style="334" customWidth="1"/>
    <col min="3593" max="3840" width="9.1796875" style="334"/>
    <col min="3841" max="3841" width="11.54296875" style="334" customWidth="1"/>
    <col min="3842" max="3842" width="47.54296875" style="334" customWidth="1"/>
    <col min="3843" max="3843" width="18.81640625" style="334" customWidth="1"/>
    <col min="3844" max="3844" width="21.1796875" style="334" customWidth="1"/>
    <col min="3845" max="3845" width="19" style="334" customWidth="1"/>
    <col min="3846" max="3846" width="22.1796875" style="334" customWidth="1"/>
    <col min="3847" max="3847" width="19.81640625" style="334" customWidth="1"/>
    <col min="3848" max="3848" width="19.453125" style="334" customWidth="1"/>
    <col min="3849" max="4096" width="9.1796875" style="334"/>
    <col min="4097" max="4097" width="11.54296875" style="334" customWidth="1"/>
    <col min="4098" max="4098" width="47.54296875" style="334" customWidth="1"/>
    <col min="4099" max="4099" width="18.81640625" style="334" customWidth="1"/>
    <col min="4100" max="4100" width="21.1796875" style="334" customWidth="1"/>
    <col min="4101" max="4101" width="19" style="334" customWidth="1"/>
    <col min="4102" max="4102" width="22.1796875" style="334" customWidth="1"/>
    <col min="4103" max="4103" width="19.81640625" style="334" customWidth="1"/>
    <col min="4104" max="4104" width="19.453125" style="334" customWidth="1"/>
    <col min="4105" max="4352" width="9.1796875" style="334"/>
    <col min="4353" max="4353" width="11.54296875" style="334" customWidth="1"/>
    <col min="4354" max="4354" width="47.54296875" style="334" customWidth="1"/>
    <col min="4355" max="4355" width="18.81640625" style="334" customWidth="1"/>
    <col min="4356" max="4356" width="21.1796875" style="334" customWidth="1"/>
    <col min="4357" max="4357" width="19" style="334" customWidth="1"/>
    <col min="4358" max="4358" width="22.1796875" style="334" customWidth="1"/>
    <col min="4359" max="4359" width="19.81640625" style="334" customWidth="1"/>
    <col min="4360" max="4360" width="19.453125" style="334" customWidth="1"/>
    <col min="4361" max="4608" width="9.1796875" style="334"/>
    <col min="4609" max="4609" width="11.54296875" style="334" customWidth="1"/>
    <col min="4610" max="4610" width="47.54296875" style="334" customWidth="1"/>
    <col min="4611" max="4611" width="18.81640625" style="334" customWidth="1"/>
    <col min="4612" max="4612" width="21.1796875" style="334" customWidth="1"/>
    <col min="4613" max="4613" width="19" style="334" customWidth="1"/>
    <col min="4614" max="4614" width="22.1796875" style="334" customWidth="1"/>
    <col min="4615" max="4615" width="19.81640625" style="334" customWidth="1"/>
    <col min="4616" max="4616" width="19.453125" style="334" customWidth="1"/>
    <col min="4617" max="4864" width="9.1796875" style="334"/>
    <col min="4865" max="4865" width="11.54296875" style="334" customWidth="1"/>
    <col min="4866" max="4866" width="47.54296875" style="334" customWidth="1"/>
    <col min="4867" max="4867" width="18.81640625" style="334" customWidth="1"/>
    <col min="4868" max="4868" width="21.1796875" style="334" customWidth="1"/>
    <col min="4869" max="4869" width="19" style="334" customWidth="1"/>
    <col min="4870" max="4870" width="22.1796875" style="334" customWidth="1"/>
    <col min="4871" max="4871" width="19.81640625" style="334" customWidth="1"/>
    <col min="4872" max="4872" width="19.453125" style="334" customWidth="1"/>
    <col min="4873" max="5120" width="9.1796875" style="334"/>
    <col min="5121" max="5121" width="11.54296875" style="334" customWidth="1"/>
    <col min="5122" max="5122" width="47.54296875" style="334" customWidth="1"/>
    <col min="5123" max="5123" width="18.81640625" style="334" customWidth="1"/>
    <col min="5124" max="5124" width="21.1796875" style="334" customWidth="1"/>
    <col min="5125" max="5125" width="19" style="334" customWidth="1"/>
    <col min="5126" max="5126" width="22.1796875" style="334" customWidth="1"/>
    <col min="5127" max="5127" width="19.81640625" style="334" customWidth="1"/>
    <col min="5128" max="5128" width="19.453125" style="334" customWidth="1"/>
    <col min="5129" max="5376" width="9.1796875" style="334"/>
    <col min="5377" max="5377" width="11.54296875" style="334" customWidth="1"/>
    <col min="5378" max="5378" width="47.54296875" style="334" customWidth="1"/>
    <col min="5379" max="5379" width="18.81640625" style="334" customWidth="1"/>
    <col min="5380" max="5380" width="21.1796875" style="334" customWidth="1"/>
    <col min="5381" max="5381" width="19" style="334" customWidth="1"/>
    <col min="5382" max="5382" width="22.1796875" style="334" customWidth="1"/>
    <col min="5383" max="5383" width="19.81640625" style="334" customWidth="1"/>
    <col min="5384" max="5384" width="19.453125" style="334" customWidth="1"/>
    <col min="5385" max="5632" width="9.1796875" style="334"/>
    <col min="5633" max="5633" width="11.54296875" style="334" customWidth="1"/>
    <col min="5634" max="5634" width="47.54296875" style="334" customWidth="1"/>
    <col min="5635" max="5635" width="18.81640625" style="334" customWidth="1"/>
    <col min="5636" max="5636" width="21.1796875" style="334" customWidth="1"/>
    <col min="5637" max="5637" width="19" style="334" customWidth="1"/>
    <col min="5638" max="5638" width="22.1796875" style="334" customWidth="1"/>
    <col min="5639" max="5639" width="19.81640625" style="334" customWidth="1"/>
    <col min="5640" max="5640" width="19.453125" style="334" customWidth="1"/>
    <col min="5641" max="5888" width="9.1796875" style="334"/>
    <col min="5889" max="5889" width="11.54296875" style="334" customWidth="1"/>
    <col min="5890" max="5890" width="47.54296875" style="334" customWidth="1"/>
    <col min="5891" max="5891" width="18.81640625" style="334" customWidth="1"/>
    <col min="5892" max="5892" width="21.1796875" style="334" customWidth="1"/>
    <col min="5893" max="5893" width="19" style="334" customWidth="1"/>
    <col min="5894" max="5894" width="22.1796875" style="334" customWidth="1"/>
    <col min="5895" max="5895" width="19.81640625" style="334" customWidth="1"/>
    <col min="5896" max="5896" width="19.453125" style="334" customWidth="1"/>
    <col min="5897" max="6144" width="9.1796875" style="334"/>
    <col min="6145" max="6145" width="11.54296875" style="334" customWidth="1"/>
    <col min="6146" max="6146" width="47.54296875" style="334" customWidth="1"/>
    <col min="6147" max="6147" width="18.81640625" style="334" customWidth="1"/>
    <col min="6148" max="6148" width="21.1796875" style="334" customWidth="1"/>
    <col min="6149" max="6149" width="19" style="334" customWidth="1"/>
    <col min="6150" max="6150" width="22.1796875" style="334" customWidth="1"/>
    <col min="6151" max="6151" width="19.81640625" style="334" customWidth="1"/>
    <col min="6152" max="6152" width="19.453125" style="334" customWidth="1"/>
    <col min="6153" max="6400" width="9.1796875" style="334"/>
    <col min="6401" max="6401" width="11.54296875" style="334" customWidth="1"/>
    <col min="6402" max="6402" width="47.54296875" style="334" customWidth="1"/>
    <col min="6403" max="6403" width="18.81640625" style="334" customWidth="1"/>
    <col min="6404" max="6404" width="21.1796875" style="334" customWidth="1"/>
    <col min="6405" max="6405" width="19" style="334" customWidth="1"/>
    <col min="6406" max="6406" width="22.1796875" style="334" customWidth="1"/>
    <col min="6407" max="6407" width="19.81640625" style="334" customWidth="1"/>
    <col min="6408" max="6408" width="19.453125" style="334" customWidth="1"/>
    <col min="6409" max="6656" width="9.1796875" style="334"/>
    <col min="6657" max="6657" width="11.54296875" style="334" customWidth="1"/>
    <col min="6658" max="6658" width="47.54296875" style="334" customWidth="1"/>
    <col min="6659" max="6659" width="18.81640625" style="334" customWidth="1"/>
    <col min="6660" max="6660" width="21.1796875" style="334" customWidth="1"/>
    <col min="6661" max="6661" width="19" style="334" customWidth="1"/>
    <col min="6662" max="6662" width="22.1796875" style="334" customWidth="1"/>
    <col min="6663" max="6663" width="19.81640625" style="334" customWidth="1"/>
    <col min="6664" max="6664" width="19.453125" style="334" customWidth="1"/>
    <col min="6665" max="6912" width="9.1796875" style="334"/>
    <col min="6913" max="6913" width="11.54296875" style="334" customWidth="1"/>
    <col min="6914" max="6914" width="47.54296875" style="334" customWidth="1"/>
    <col min="6915" max="6915" width="18.81640625" style="334" customWidth="1"/>
    <col min="6916" max="6916" width="21.1796875" style="334" customWidth="1"/>
    <col min="6917" max="6917" width="19" style="334" customWidth="1"/>
    <col min="6918" max="6918" width="22.1796875" style="334" customWidth="1"/>
    <col min="6919" max="6919" width="19.81640625" style="334" customWidth="1"/>
    <col min="6920" max="6920" width="19.453125" style="334" customWidth="1"/>
    <col min="6921" max="7168" width="9.1796875" style="334"/>
    <col min="7169" max="7169" width="11.54296875" style="334" customWidth="1"/>
    <col min="7170" max="7170" width="47.54296875" style="334" customWidth="1"/>
    <col min="7171" max="7171" width="18.81640625" style="334" customWidth="1"/>
    <col min="7172" max="7172" width="21.1796875" style="334" customWidth="1"/>
    <col min="7173" max="7173" width="19" style="334" customWidth="1"/>
    <col min="7174" max="7174" width="22.1796875" style="334" customWidth="1"/>
    <col min="7175" max="7175" width="19.81640625" style="334" customWidth="1"/>
    <col min="7176" max="7176" width="19.453125" style="334" customWidth="1"/>
    <col min="7177" max="7424" width="9.1796875" style="334"/>
    <col min="7425" max="7425" width="11.54296875" style="334" customWidth="1"/>
    <col min="7426" max="7426" width="47.54296875" style="334" customWidth="1"/>
    <col min="7427" max="7427" width="18.81640625" style="334" customWidth="1"/>
    <col min="7428" max="7428" width="21.1796875" style="334" customWidth="1"/>
    <col min="7429" max="7429" width="19" style="334" customWidth="1"/>
    <col min="7430" max="7430" width="22.1796875" style="334" customWidth="1"/>
    <col min="7431" max="7431" width="19.81640625" style="334" customWidth="1"/>
    <col min="7432" max="7432" width="19.453125" style="334" customWidth="1"/>
    <col min="7433" max="7680" width="9.1796875" style="334"/>
    <col min="7681" max="7681" width="11.54296875" style="334" customWidth="1"/>
    <col min="7682" max="7682" width="47.54296875" style="334" customWidth="1"/>
    <col min="7683" max="7683" width="18.81640625" style="334" customWidth="1"/>
    <col min="7684" max="7684" width="21.1796875" style="334" customWidth="1"/>
    <col min="7685" max="7685" width="19" style="334" customWidth="1"/>
    <col min="7686" max="7686" width="22.1796875" style="334" customWidth="1"/>
    <col min="7687" max="7687" width="19.81640625" style="334" customWidth="1"/>
    <col min="7688" max="7688" width="19.453125" style="334" customWidth="1"/>
    <col min="7689" max="7936" width="9.1796875" style="334"/>
    <col min="7937" max="7937" width="11.54296875" style="334" customWidth="1"/>
    <col min="7938" max="7938" width="47.54296875" style="334" customWidth="1"/>
    <col min="7939" max="7939" width="18.81640625" style="334" customWidth="1"/>
    <col min="7940" max="7940" width="21.1796875" style="334" customWidth="1"/>
    <col min="7941" max="7941" width="19" style="334" customWidth="1"/>
    <col min="7942" max="7942" width="22.1796875" style="334" customWidth="1"/>
    <col min="7943" max="7943" width="19.81640625" style="334" customWidth="1"/>
    <col min="7944" max="7944" width="19.453125" style="334" customWidth="1"/>
    <col min="7945" max="8192" width="9.1796875" style="334"/>
    <col min="8193" max="8193" width="11.54296875" style="334" customWidth="1"/>
    <col min="8194" max="8194" width="47.54296875" style="334" customWidth="1"/>
    <col min="8195" max="8195" width="18.81640625" style="334" customWidth="1"/>
    <col min="8196" max="8196" width="21.1796875" style="334" customWidth="1"/>
    <col min="8197" max="8197" width="19" style="334" customWidth="1"/>
    <col min="8198" max="8198" width="22.1796875" style="334" customWidth="1"/>
    <col min="8199" max="8199" width="19.81640625" style="334" customWidth="1"/>
    <col min="8200" max="8200" width="19.453125" style="334" customWidth="1"/>
    <col min="8201" max="8448" width="9.1796875" style="334"/>
    <col min="8449" max="8449" width="11.54296875" style="334" customWidth="1"/>
    <col min="8450" max="8450" width="47.54296875" style="334" customWidth="1"/>
    <col min="8451" max="8451" width="18.81640625" style="334" customWidth="1"/>
    <col min="8452" max="8452" width="21.1796875" style="334" customWidth="1"/>
    <col min="8453" max="8453" width="19" style="334" customWidth="1"/>
    <col min="8454" max="8454" width="22.1796875" style="334" customWidth="1"/>
    <col min="8455" max="8455" width="19.81640625" style="334" customWidth="1"/>
    <col min="8456" max="8456" width="19.453125" style="334" customWidth="1"/>
    <col min="8457" max="8704" width="9.1796875" style="334"/>
    <col min="8705" max="8705" width="11.54296875" style="334" customWidth="1"/>
    <col min="8706" max="8706" width="47.54296875" style="334" customWidth="1"/>
    <col min="8707" max="8707" width="18.81640625" style="334" customWidth="1"/>
    <col min="8708" max="8708" width="21.1796875" style="334" customWidth="1"/>
    <col min="8709" max="8709" width="19" style="334" customWidth="1"/>
    <col min="8710" max="8710" width="22.1796875" style="334" customWidth="1"/>
    <col min="8711" max="8711" width="19.81640625" style="334" customWidth="1"/>
    <col min="8712" max="8712" width="19.453125" style="334" customWidth="1"/>
    <col min="8713" max="8960" width="9.1796875" style="334"/>
    <col min="8961" max="8961" width="11.54296875" style="334" customWidth="1"/>
    <col min="8962" max="8962" width="47.54296875" style="334" customWidth="1"/>
    <col min="8963" max="8963" width="18.81640625" style="334" customWidth="1"/>
    <col min="8964" max="8964" width="21.1796875" style="334" customWidth="1"/>
    <col min="8965" max="8965" width="19" style="334" customWidth="1"/>
    <col min="8966" max="8966" width="22.1796875" style="334" customWidth="1"/>
    <col min="8967" max="8967" width="19.81640625" style="334" customWidth="1"/>
    <col min="8968" max="8968" width="19.453125" style="334" customWidth="1"/>
    <col min="8969" max="9216" width="9.1796875" style="334"/>
    <col min="9217" max="9217" width="11.54296875" style="334" customWidth="1"/>
    <col min="9218" max="9218" width="47.54296875" style="334" customWidth="1"/>
    <col min="9219" max="9219" width="18.81640625" style="334" customWidth="1"/>
    <col min="9220" max="9220" width="21.1796875" style="334" customWidth="1"/>
    <col min="9221" max="9221" width="19" style="334" customWidth="1"/>
    <col min="9222" max="9222" width="22.1796875" style="334" customWidth="1"/>
    <col min="9223" max="9223" width="19.81640625" style="334" customWidth="1"/>
    <col min="9224" max="9224" width="19.453125" style="334" customWidth="1"/>
    <col min="9225" max="9472" width="9.1796875" style="334"/>
    <col min="9473" max="9473" width="11.54296875" style="334" customWidth="1"/>
    <col min="9474" max="9474" width="47.54296875" style="334" customWidth="1"/>
    <col min="9475" max="9475" width="18.81640625" style="334" customWidth="1"/>
    <col min="9476" max="9476" width="21.1796875" style="334" customWidth="1"/>
    <col min="9477" max="9477" width="19" style="334" customWidth="1"/>
    <col min="9478" max="9478" width="22.1796875" style="334" customWidth="1"/>
    <col min="9479" max="9479" width="19.81640625" style="334" customWidth="1"/>
    <col min="9480" max="9480" width="19.453125" style="334" customWidth="1"/>
    <col min="9481" max="9728" width="9.1796875" style="334"/>
    <col min="9729" max="9729" width="11.54296875" style="334" customWidth="1"/>
    <col min="9730" max="9730" width="47.54296875" style="334" customWidth="1"/>
    <col min="9731" max="9731" width="18.81640625" style="334" customWidth="1"/>
    <col min="9732" max="9732" width="21.1796875" style="334" customWidth="1"/>
    <col min="9733" max="9733" width="19" style="334" customWidth="1"/>
    <col min="9734" max="9734" width="22.1796875" style="334" customWidth="1"/>
    <col min="9735" max="9735" width="19.81640625" style="334" customWidth="1"/>
    <col min="9736" max="9736" width="19.453125" style="334" customWidth="1"/>
    <col min="9737" max="9984" width="9.1796875" style="334"/>
    <col min="9985" max="9985" width="11.54296875" style="334" customWidth="1"/>
    <col min="9986" max="9986" width="47.54296875" style="334" customWidth="1"/>
    <col min="9987" max="9987" width="18.81640625" style="334" customWidth="1"/>
    <col min="9988" max="9988" width="21.1796875" style="334" customWidth="1"/>
    <col min="9989" max="9989" width="19" style="334" customWidth="1"/>
    <col min="9990" max="9990" width="22.1796875" style="334" customWidth="1"/>
    <col min="9991" max="9991" width="19.81640625" style="334" customWidth="1"/>
    <col min="9992" max="9992" width="19.453125" style="334" customWidth="1"/>
    <col min="9993" max="10240" width="9.1796875" style="334"/>
    <col min="10241" max="10241" width="11.54296875" style="334" customWidth="1"/>
    <col min="10242" max="10242" width="47.54296875" style="334" customWidth="1"/>
    <col min="10243" max="10243" width="18.81640625" style="334" customWidth="1"/>
    <col min="10244" max="10244" width="21.1796875" style="334" customWidth="1"/>
    <col min="10245" max="10245" width="19" style="334" customWidth="1"/>
    <col min="10246" max="10246" width="22.1796875" style="334" customWidth="1"/>
    <col min="10247" max="10247" width="19.81640625" style="334" customWidth="1"/>
    <col min="10248" max="10248" width="19.453125" style="334" customWidth="1"/>
    <col min="10249" max="10496" width="9.1796875" style="334"/>
    <col min="10497" max="10497" width="11.54296875" style="334" customWidth="1"/>
    <col min="10498" max="10498" width="47.54296875" style="334" customWidth="1"/>
    <col min="10499" max="10499" width="18.81640625" style="334" customWidth="1"/>
    <col min="10500" max="10500" width="21.1796875" style="334" customWidth="1"/>
    <col min="10501" max="10501" width="19" style="334" customWidth="1"/>
    <col min="10502" max="10502" width="22.1796875" style="334" customWidth="1"/>
    <col min="10503" max="10503" width="19.81640625" style="334" customWidth="1"/>
    <col min="10504" max="10504" width="19.453125" style="334" customWidth="1"/>
    <col min="10505" max="10752" width="9.1796875" style="334"/>
    <col min="10753" max="10753" width="11.54296875" style="334" customWidth="1"/>
    <col min="10754" max="10754" width="47.54296875" style="334" customWidth="1"/>
    <col min="10755" max="10755" width="18.81640625" style="334" customWidth="1"/>
    <col min="10756" max="10756" width="21.1796875" style="334" customWidth="1"/>
    <col min="10757" max="10757" width="19" style="334" customWidth="1"/>
    <col min="10758" max="10758" width="22.1796875" style="334" customWidth="1"/>
    <col min="10759" max="10759" width="19.81640625" style="334" customWidth="1"/>
    <col min="10760" max="10760" width="19.453125" style="334" customWidth="1"/>
    <col min="10761" max="11008" width="9.1796875" style="334"/>
    <col min="11009" max="11009" width="11.54296875" style="334" customWidth="1"/>
    <col min="11010" max="11010" width="47.54296875" style="334" customWidth="1"/>
    <col min="11011" max="11011" width="18.81640625" style="334" customWidth="1"/>
    <col min="11012" max="11012" width="21.1796875" style="334" customWidth="1"/>
    <col min="11013" max="11013" width="19" style="334" customWidth="1"/>
    <col min="11014" max="11014" width="22.1796875" style="334" customWidth="1"/>
    <col min="11015" max="11015" width="19.81640625" style="334" customWidth="1"/>
    <col min="11016" max="11016" width="19.453125" style="334" customWidth="1"/>
    <col min="11017" max="11264" width="9.1796875" style="334"/>
    <col min="11265" max="11265" width="11.54296875" style="334" customWidth="1"/>
    <col min="11266" max="11266" width="47.54296875" style="334" customWidth="1"/>
    <col min="11267" max="11267" width="18.81640625" style="334" customWidth="1"/>
    <col min="11268" max="11268" width="21.1796875" style="334" customWidth="1"/>
    <col min="11269" max="11269" width="19" style="334" customWidth="1"/>
    <col min="11270" max="11270" width="22.1796875" style="334" customWidth="1"/>
    <col min="11271" max="11271" width="19.81640625" style="334" customWidth="1"/>
    <col min="11272" max="11272" width="19.453125" style="334" customWidth="1"/>
    <col min="11273" max="11520" width="9.1796875" style="334"/>
    <col min="11521" max="11521" width="11.54296875" style="334" customWidth="1"/>
    <col min="11522" max="11522" width="47.54296875" style="334" customWidth="1"/>
    <col min="11523" max="11523" width="18.81640625" style="334" customWidth="1"/>
    <col min="11524" max="11524" width="21.1796875" style="334" customWidth="1"/>
    <col min="11525" max="11525" width="19" style="334" customWidth="1"/>
    <col min="11526" max="11526" width="22.1796875" style="334" customWidth="1"/>
    <col min="11527" max="11527" width="19.81640625" style="334" customWidth="1"/>
    <col min="11528" max="11528" width="19.453125" style="334" customWidth="1"/>
    <col min="11529" max="11776" width="9.1796875" style="334"/>
    <col min="11777" max="11777" width="11.54296875" style="334" customWidth="1"/>
    <col min="11778" max="11778" width="47.54296875" style="334" customWidth="1"/>
    <col min="11779" max="11779" width="18.81640625" style="334" customWidth="1"/>
    <col min="11780" max="11780" width="21.1796875" style="334" customWidth="1"/>
    <col min="11781" max="11781" width="19" style="334" customWidth="1"/>
    <col min="11782" max="11782" width="22.1796875" style="334" customWidth="1"/>
    <col min="11783" max="11783" width="19.81640625" style="334" customWidth="1"/>
    <col min="11784" max="11784" width="19.453125" style="334" customWidth="1"/>
    <col min="11785" max="12032" width="9.1796875" style="334"/>
    <col min="12033" max="12033" width="11.54296875" style="334" customWidth="1"/>
    <col min="12034" max="12034" width="47.54296875" style="334" customWidth="1"/>
    <col min="12035" max="12035" width="18.81640625" style="334" customWidth="1"/>
    <col min="12036" max="12036" width="21.1796875" style="334" customWidth="1"/>
    <col min="12037" max="12037" width="19" style="334" customWidth="1"/>
    <col min="12038" max="12038" width="22.1796875" style="334" customWidth="1"/>
    <col min="12039" max="12039" width="19.81640625" style="334" customWidth="1"/>
    <col min="12040" max="12040" width="19.453125" style="334" customWidth="1"/>
    <col min="12041" max="12288" width="9.1796875" style="334"/>
    <col min="12289" max="12289" width="11.54296875" style="334" customWidth="1"/>
    <col min="12290" max="12290" width="47.54296875" style="334" customWidth="1"/>
    <col min="12291" max="12291" width="18.81640625" style="334" customWidth="1"/>
    <col min="12292" max="12292" width="21.1796875" style="334" customWidth="1"/>
    <col min="12293" max="12293" width="19" style="334" customWidth="1"/>
    <col min="12294" max="12294" width="22.1796875" style="334" customWidth="1"/>
    <col min="12295" max="12295" width="19.81640625" style="334" customWidth="1"/>
    <col min="12296" max="12296" width="19.453125" style="334" customWidth="1"/>
    <col min="12297" max="12544" width="9.1796875" style="334"/>
    <col min="12545" max="12545" width="11.54296875" style="334" customWidth="1"/>
    <col min="12546" max="12546" width="47.54296875" style="334" customWidth="1"/>
    <col min="12547" max="12547" width="18.81640625" style="334" customWidth="1"/>
    <col min="12548" max="12548" width="21.1796875" style="334" customWidth="1"/>
    <col min="12549" max="12549" width="19" style="334" customWidth="1"/>
    <col min="12550" max="12550" width="22.1796875" style="334" customWidth="1"/>
    <col min="12551" max="12551" width="19.81640625" style="334" customWidth="1"/>
    <col min="12552" max="12552" width="19.453125" style="334" customWidth="1"/>
    <col min="12553" max="12800" width="9.1796875" style="334"/>
    <col min="12801" max="12801" width="11.54296875" style="334" customWidth="1"/>
    <col min="12802" max="12802" width="47.54296875" style="334" customWidth="1"/>
    <col min="12803" max="12803" width="18.81640625" style="334" customWidth="1"/>
    <col min="12804" max="12804" width="21.1796875" style="334" customWidth="1"/>
    <col min="12805" max="12805" width="19" style="334" customWidth="1"/>
    <col min="12806" max="12806" width="22.1796875" style="334" customWidth="1"/>
    <col min="12807" max="12807" width="19.81640625" style="334" customWidth="1"/>
    <col min="12808" max="12808" width="19.453125" style="334" customWidth="1"/>
    <col min="12809" max="13056" width="9.1796875" style="334"/>
    <col min="13057" max="13057" width="11.54296875" style="334" customWidth="1"/>
    <col min="13058" max="13058" width="47.54296875" style="334" customWidth="1"/>
    <col min="13059" max="13059" width="18.81640625" style="334" customWidth="1"/>
    <col min="13060" max="13060" width="21.1796875" style="334" customWidth="1"/>
    <col min="13061" max="13061" width="19" style="334" customWidth="1"/>
    <col min="13062" max="13062" width="22.1796875" style="334" customWidth="1"/>
    <col min="13063" max="13063" width="19.81640625" style="334" customWidth="1"/>
    <col min="13064" max="13064" width="19.453125" style="334" customWidth="1"/>
    <col min="13065" max="13312" width="9.1796875" style="334"/>
    <col min="13313" max="13313" width="11.54296875" style="334" customWidth="1"/>
    <col min="13314" max="13314" width="47.54296875" style="334" customWidth="1"/>
    <col min="13315" max="13315" width="18.81640625" style="334" customWidth="1"/>
    <col min="13316" max="13316" width="21.1796875" style="334" customWidth="1"/>
    <col min="13317" max="13317" width="19" style="334" customWidth="1"/>
    <col min="13318" max="13318" width="22.1796875" style="334" customWidth="1"/>
    <col min="13319" max="13319" width="19.81640625" style="334" customWidth="1"/>
    <col min="13320" max="13320" width="19.453125" style="334" customWidth="1"/>
    <col min="13321" max="13568" width="9.1796875" style="334"/>
    <col min="13569" max="13569" width="11.54296875" style="334" customWidth="1"/>
    <col min="13570" max="13570" width="47.54296875" style="334" customWidth="1"/>
    <col min="13571" max="13571" width="18.81640625" style="334" customWidth="1"/>
    <col min="13572" max="13572" width="21.1796875" style="334" customWidth="1"/>
    <col min="13573" max="13573" width="19" style="334" customWidth="1"/>
    <col min="13574" max="13574" width="22.1796875" style="334" customWidth="1"/>
    <col min="13575" max="13575" width="19.81640625" style="334" customWidth="1"/>
    <col min="13576" max="13576" width="19.453125" style="334" customWidth="1"/>
    <col min="13577" max="13824" width="9.1796875" style="334"/>
    <col min="13825" max="13825" width="11.54296875" style="334" customWidth="1"/>
    <col min="13826" max="13826" width="47.54296875" style="334" customWidth="1"/>
    <col min="13827" max="13827" width="18.81640625" style="334" customWidth="1"/>
    <col min="13828" max="13828" width="21.1796875" style="334" customWidth="1"/>
    <col min="13829" max="13829" width="19" style="334" customWidth="1"/>
    <col min="13830" max="13830" width="22.1796875" style="334" customWidth="1"/>
    <col min="13831" max="13831" width="19.81640625" style="334" customWidth="1"/>
    <col min="13832" max="13832" width="19.453125" style="334" customWidth="1"/>
    <col min="13833" max="14080" width="9.1796875" style="334"/>
    <col min="14081" max="14081" width="11.54296875" style="334" customWidth="1"/>
    <col min="14082" max="14082" width="47.54296875" style="334" customWidth="1"/>
    <col min="14083" max="14083" width="18.81640625" style="334" customWidth="1"/>
    <col min="14084" max="14084" width="21.1796875" style="334" customWidth="1"/>
    <col min="14085" max="14085" width="19" style="334" customWidth="1"/>
    <col min="14086" max="14086" width="22.1796875" style="334" customWidth="1"/>
    <col min="14087" max="14087" width="19.81640625" style="334" customWidth="1"/>
    <col min="14088" max="14088" width="19.453125" style="334" customWidth="1"/>
    <col min="14089" max="14336" width="9.1796875" style="334"/>
    <col min="14337" max="14337" width="11.54296875" style="334" customWidth="1"/>
    <col min="14338" max="14338" width="47.54296875" style="334" customWidth="1"/>
    <col min="14339" max="14339" width="18.81640625" style="334" customWidth="1"/>
    <col min="14340" max="14340" width="21.1796875" style="334" customWidth="1"/>
    <col min="14341" max="14341" width="19" style="334" customWidth="1"/>
    <col min="14342" max="14342" width="22.1796875" style="334" customWidth="1"/>
    <col min="14343" max="14343" width="19.81640625" style="334" customWidth="1"/>
    <col min="14344" max="14344" width="19.453125" style="334" customWidth="1"/>
    <col min="14345" max="14592" width="9.1796875" style="334"/>
    <col min="14593" max="14593" width="11.54296875" style="334" customWidth="1"/>
    <col min="14594" max="14594" width="47.54296875" style="334" customWidth="1"/>
    <col min="14595" max="14595" width="18.81640625" style="334" customWidth="1"/>
    <col min="14596" max="14596" width="21.1796875" style="334" customWidth="1"/>
    <col min="14597" max="14597" width="19" style="334" customWidth="1"/>
    <col min="14598" max="14598" width="22.1796875" style="334" customWidth="1"/>
    <col min="14599" max="14599" width="19.81640625" style="334" customWidth="1"/>
    <col min="14600" max="14600" width="19.453125" style="334" customWidth="1"/>
    <col min="14601" max="14848" width="9.1796875" style="334"/>
    <col min="14849" max="14849" width="11.54296875" style="334" customWidth="1"/>
    <col min="14850" max="14850" width="47.54296875" style="334" customWidth="1"/>
    <col min="14851" max="14851" width="18.81640625" style="334" customWidth="1"/>
    <col min="14852" max="14852" width="21.1796875" style="334" customWidth="1"/>
    <col min="14853" max="14853" width="19" style="334" customWidth="1"/>
    <col min="14854" max="14854" width="22.1796875" style="334" customWidth="1"/>
    <col min="14855" max="14855" width="19.81640625" style="334" customWidth="1"/>
    <col min="14856" max="14856" width="19.453125" style="334" customWidth="1"/>
    <col min="14857" max="15104" width="9.1796875" style="334"/>
    <col min="15105" max="15105" width="11.54296875" style="334" customWidth="1"/>
    <col min="15106" max="15106" width="47.54296875" style="334" customWidth="1"/>
    <col min="15107" max="15107" width="18.81640625" style="334" customWidth="1"/>
    <col min="15108" max="15108" width="21.1796875" style="334" customWidth="1"/>
    <col min="15109" max="15109" width="19" style="334" customWidth="1"/>
    <col min="15110" max="15110" width="22.1796875" style="334" customWidth="1"/>
    <col min="15111" max="15111" width="19.81640625" style="334" customWidth="1"/>
    <col min="15112" max="15112" width="19.453125" style="334" customWidth="1"/>
    <col min="15113" max="15360" width="9.1796875" style="334"/>
    <col min="15361" max="15361" width="11.54296875" style="334" customWidth="1"/>
    <col min="15362" max="15362" width="47.54296875" style="334" customWidth="1"/>
    <col min="15363" max="15363" width="18.81640625" style="334" customWidth="1"/>
    <col min="15364" max="15364" width="21.1796875" style="334" customWidth="1"/>
    <col min="15365" max="15365" width="19" style="334" customWidth="1"/>
    <col min="15366" max="15366" width="22.1796875" style="334" customWidth="1"/>
    <col min="15367" max="15367" width="19.81640625" style="334" customWidth="1"/>
    <col min="15368" max="15368" width="19.453125" style="334" customWidth="1"/>
    <col min="15369" max="15616" width="9.1796875" style="334"/>
    <col min="15617" max="15617" width="11.54296875" style="334" customWidth="1"/>
    <col min="15618" max="15618" width="47.54296875" style="334" customWidth="1"/>
    <col min="15619" max="15619" width="18.81640625" style="334" customWidth="1"/>
    <col min="15620" max="15620" width="21.1796875" style="334" customWidth="1"/>
    <col min="15621" max="15621" width="19" style="334" customWidth="1"/>
    <col min="15622" max="15622" width="22.1796875" style="334" customWidth="1"/>
    <col min="15623" max="15623" width="19.81640625" style="334" customWidth="1"/>
    <col min="15624" max="15624" width="19.453125" style="334" customWidth="1"/>
    <col min="15625" max="15872" width="9.1796875" style="334"/>
    <col min="15873" max="15873" width="11.54296875" style="334" customWidth="1"/>
    <col min="15874" max="15874" width="47.54296875" style="334" customWidth="1"/>
    <col min="15875" max="15875" width="18.81640625" style="334" customWidth="1"/>
    <col min="15876" max="15876" width="21.1796875" style="334" customWidth="1"/>
    <col min="15877" max="15877" width="19" style="334" customWidth="1"/>
    <col min="15878" max="15878" width="22.1796875" style="334" customWidth="1"/>
    <col min="15879" max="15879" width="19.81640625" style="334" customWidth="1"/>
    <col min="15880" max="15880" width="19.453125" style="334" customWidth="1"/>
    <col min="15881" max="16128" width="9.1796875" style="334"/>
    <col min="16129" max="16129" width="11.54296875" style="334" customWidth="1"/>
    <col min="16130" max="16130" width="47.54296875" style="334" customWidth="1"/>
    <col min="16131" max="16131" width="18.81640625" style="334" customWidth="1"/>
    <col min="16132" max="16132" width="21.1796875" style="334" customWidth="1"/>
    <col min="16133" max="16133" width="19" style="334" customWidth="1"/>
    <col min="16134" max="16134" width="22.1796875" style="334" customWidth="1"/>
    <col min="16135" max="16135" width="19.81640625" style="334" customWidth="1"/>
    <col min="16136" max="16136" width="19.453125" style="334" customWidth="1"/>
    <col min="16137" max="16384" width="9.1796875" style="334"/>
  </cols>
  <sheetData>
    <row r="1" spans="1:7" s="328" customFormat="1" ht="15.65" x14ac:dyDescent="0.3">
      <c r="A1" s="328" t="s">
        <v>388</v>
      </c>
      <c r="B1" s="329"/>
      <c r="C1" s="330"/>
      <c r="D1" s="331"/>
      <c r="E1" s="331"/>
      <c r="F1" s="332"/>
    </row>
    <row r="2" spans="1:7" s="328" customFormat="1" ht="15.65" x14ac:dyDescent="0.3">
      <c r="A2" s="328" t="s">
        <v>181</v>
      </c>
      <c r="B2" s="329"/>
      <c r="C2" s="330"/>
      <c r="D2" s="331"/>
      <c r="E2" s="331"/>
      <c r="F2" s="332"/>
    </row>
    <row r="3" spans="1:7" s="328" customFormat="1" ht="15.65" x14ac:dyDescent="0.3">
      <c r="A3" s="328" t="s">
        <v>887</v>
      </c>
      <c r="B3" s="329"/>
      <c r="C3" s="330"/>
      <c r="D3" s="331"/>
      <c r="E3" s="331"/>
      <c r="F3" s="332"/>
    </row>
    <row r="4" spans="1:7" ht="29.5" customHeight="1" x14ac:dyDescent="0.3">
      <c r="A4" s="79"/>
      <c r="B4" s="79" t="s">
        <v>182</v>
      </c>
      <c r="C4" s="79" t="s">
        <v>184</v>
      </c>
      <c r="D4" s="79" t="s">
        <v>746</v>
      </c>
      <c r="E4" s="79" t="s">
        <v>791</v>
      </c>
    </row>
    <row r="5" spans="1:7" ht="15.65" x14ac:dyDescent="0.3">
      <c r="A5" s="335" t="s">
        <v>185</v>
      </c>
      <c r="B5" s="336" t="s">
        <v>186</v>
      </c>
      <c r="C5" s="337">
        <f>C6</f>
        <v>2699013011.7877507</v>
      </c>
      <c r="D5" s="337">
        <f>C5*1.05</f>
        <v>2833963662.3771386</v>
      </c>
      <c r="E5" s="337">
        <f>D5*1.05</f>
        <v>2975661845.4959955</v>
      </c>
      <c r="F5" s="333">
        <v>2766278251</v>
      </c>
      <c r="G5" s="338"/>
    </row>
    <row r="6" spans="1:7" ht="15.65" x14ac:dyDescent="0.3">
      <c r="A6" s="339" t="s">
        <v>98</v>
      </c>
      <c r="B6" s="340" t="s">
        <v>187</v>
      </c>
      <c r="C6" s="341">
        <v>2699013011.7877507</v>
      </c>
      <c r="D6" s="337">
        <f t="shared" ref="D6:E71" si="0">C6*1.05</f>
        <v>2833963662.3771386</v>
      </c>
      <c r="E6" s="82">
        <f>D6*1.05</f>
        <v>2975661845.4959955</v>
      </c>
      <c r="G6" s="338"/>
    </row>
    <row r="7" spans="1:7" ht="15.65" x14ac:dyDescent="0.3">
      <c r="A7" s="339" t="s">
        <v>3</v>
      </c>
      <c r="B7" s="336" t="s">
        <v>4</v>
      </c>
      <c r="C7" s="337">
        <f>C8</f>
        <v>161793120</v>
      </c>
      <c r="D7" s="337">
        <f t="shared" si="0"/>
        <v>169882776</v>
      </c>
      <c r="E7" s="337">
        <f t="shared" si="0"/>
        <v>178376914.80000001</v>
      </c>
      <c r="F7" s="333">
        <v>161793120</v>
      </c>
      <c r="G7" s="338"/>
    </row>
    <row r="8" spans="1:7" ht="15.65" x14ac:dyDescent="0.3">
      <c r="A8" s="339">
        <v>2110202</v>
      </c>
      <c r="B8" s="340" t="s">
        <v>188</v>
      </c>
      <c r="C8" s="677">
        <v>161793120</v>
      </c>
      <c r="D8" s="342">
        <f t="shared" si="0"/>
        <v>169882776</v>
      </c>
      <c r="E8" s="342">
        <f t="shared" si="0"/>
        <v>178376914.80000001</v>
      </c>
      <c r="F8" s="333">
        <v>2699013011.7877507</v>
      </c>
      <c r="G8" s="338"/>
    </row>
    <row r="9" spans="1:7" ht="15.65" x14ac:dyDescent="0.3">
      <c r="A9" s="339">
        <v>2640500</v>
      </c>
      <c r="B9" s="343" t="s">
        <v>189</v>
      </c>
      <c r="C9" s="337">
        <f>SUM(C10:C14)</f>
        <v>245189750</v>
      </c>
      <c r="D9" s="337">
        <f t="shared" si="0"/>
        <v>257449237.5</v>
      </c>
      <c r="E9" s="337">
        <f t="shared" si="0"/>
        <v>270321699.375</v>
      </c>
      <c r="F9" s="333">
        <v>161793120</v>
      </c>
      <c r="G9" s="338" t="s">
        <v>338</v>
      </c>
    </row>
    <row r="10" spans="1:7" x14ac:dyDescent="0.35">
      <c r="A10" s="840">
        <v>2640503</v>
      </c>
      <c r="B10" s="73" t="s">
        <v>190</v>
      </c>
      <c r="C10" s="341">
        <v>1571000</v>
      </c>
      <c r="D10" s="342">
        <f t="shared" si="0"/>
        <v>1649550</v>
      </c>
      <c r="E10" s="342">
        <f t="shared" si="0"/>
        <v>1732027.5</v>
      </c>
      <c r="G10" s="338"/>
    </row>
    <row r="11" spans="1:7" ht="31" x14ac:dyDescent="0.35">
      <c r="A11" s="840"/>
      <c r="B11" s="73" t="s">
        <v>191</v>
      </c>
      <c r="C11" s="341">
        <v>13644750</v>
      </c>
      <c r="D11" s="342">
        <f t="shared" si="0"/>
        <v>14326987.5</v>
      </c>
      <c r="E11" s="342">
        <f t="shared" si="0"/>
        <v>15043336.875</v>
      </c>
      <c r="G11" s="338"/>
    </row>
    <row r="12" spans="1:7" x14ac:dyDescent="0.35">
      <c r="A12" s="841"/>
      <c r="B12" s="73" t="s">
        <v>783</v>
      </c>
      <c r="C12" s="342">
        <v>15174000</v>
      </c>
      <c r="D12" s="342">
        <f t="shared" si="0"/>
        <v>15932700</v>
      </c>
      <c r="E12" s="342">
        <f t="shared" si="0"/>
        <v>16729335</v>
      </c>
      <c r="G12" s="338"/>
    </row>
    <row r="13" spans="1:7" ht="15.65" x14ac:dyDescent="0.3">
      <c r="A13" s="344"/>
      <c r="B13" s="73" t="s">
        <v>1147</v>
      </c>
      <c r="C13" s="342">
        <v>107400000</v>
      </c>
      <c r="D13" s="342">
        <f t="shared" si="0"/>
        <v>112770000</v>
      </c>
      <c r="E13" s="342">
        <f t="shared" si="0"/>
        <v>118408500</v>
      </c>
      <c r="G13" s="338"/>
    </row>
    <row r="14" spans="1:7" ht="15.65" x14ac:dyDescent="0.3">
      <c r="A14" s="344"/>
      <c r="B14" s="73" t="s">
        <v>1224</v>
      </c>
      <c r="C14" s="342">
        <v>107400000</v>
      </c>
      <c r="D14" s="342"/>
      <c r="E14" s="342"/>
      <c r="G14" s="338"/>
    </row>
    <row r="15" spans="1:7" s="328" customFormat="1" ht="15.65" x14ac:dyDescent="0.3">
      <c r="A15" s="335" t="s">
        <v>192</v>
      </c>
      <c r="B15" s="336" t="s">
        <v>23</v>
      </c>
      <c r="C15" s="345">
        <f>C16+C17</f>
        <v>1748400</v>
      </c>
      <c r="D15" s="337">
        <f t="shared" si="0"/>
        <v>1835820</v>
      </c>
      <c r="E15" s="337">
        <f t="shared" si="0"/>
        <v>1927611</v>
      </c>
      <c r="F15" s="332"/>
      <c r="G15" s="338"/>
    </row>
    <row r="16" spans="1:7" ht="15.65" x14ac:dyDescent="0.3">
      <c r="A16" s="339" t="s">
        <v>101</v>
      </c>
      <c r="B16" s="73" t="s">
        <v>102</v>
      </c>
      <c r="C16" s="346">
        <v>1500000</v>
      </c>
      <c r="D16" s="342">
        <f t="shared" si="0"/>
        <v>1575000</v>
      </c>
      <c r="E16" s="342">
        <f t="shared" si="0"/>
        <v>1653750</v>
      </c>
      <c r="G16" s="338"/>
    </row>
    <row r="17" spans="1:10" ht="15.65" x14ac:dyDescent="0.3">
      <c r="A17" s="339" t="s">
        <v>103</v>
      </c>
      <c r="B17" s="73" t="s">
        <v>104</v>
      </c>
      <c r="C17" s="346">
        <v>248400</v>
      </c>
      <c r="D17" s="342">
        <f t="shared" si="0"/>
        <v>260820</v>
      </c>
      <c r="E17" s="342">
        <f t="shared" si="0"/>
        <v>273861</v>
      </c>
      <c r="F17" s="333">
        <v>96593218.123999998</v>
      </c>
      <c r="G17" s="338">
        <v>96593218</v>
      </c>
    </row>
    <row r="18" spans="1:10" s="328" customFormat="1" ht="15.65" x14ac:dyDescent="0.3">
      <c r="A18" s="335" t="s">
        <v>193</v>
      </c>
      <c r="B18" s="336" t="s">
        <v>194</v>
      </c>
      <c r="C18" s="345">
        <f>C19+C20</f>
        <v>625600</v>
      </c>
      <c r="D18" s="337">
        <f t="shared" si="0"/>
        <v>656880</v>
      </c>
      <c r="E18" s="337">
        <f t="shared" si="0"/>
        <v>689724</v>
      </c>
      <c r="F18" s="332"/>
      <c r="G18" s="338"/>
    </row>
    <row r="19" spans="1:10" ht="15.65" x14ac:dyDescent="0.3">
      <c r="A19" s="339" t="s">
        <v>105</v>
      </c>
      <c r="B19" s="73" t="s">
        <v>106</v>
      </c>
      <c r="C19" s="346">
        <v>441600</v>
      </c>
      <c r="D19" s="342">
        <f t="shared" si="0"/>
        <v>463680</v>
      </c>
      <c r="E19" s="342">
        <f t="shared" si="0"/>
        <v>486864</v>
      </c>
      <c r="G19" s="338">
        <f>G17-F17</f>
        <v>-0.12399999797344208</v>
      </c>
    </row>
    <row r="20" spans="1:10" ht="15.65" x14ac:dyDescent="0.3">
      <c r="A20" s="339" t="s">
        <v>107</v>
      </c>
      <c r="B20" s="73" t="s">
        <v>108</v>
      </c>
      <c r="C20" s="346">
        <v>184000</v>
      </c>
      <c r="D20" s="342">
        <f t="shared" si="0"/>
        <v>193200</v>
      </c>
      <c r="E20" s="342">
        <f t="shared" si="0"/>
        <v>202860</v>
      </c>
      <c r="G20" s="338"/>
    </row>
    <row r="21" spans="1:10" ht="15.65" x14ac:dyDescent="0.3">
      <c r="A21" s="339" t="s">
        <v>109</v>
      </c>
      <c r="B21" s="73" t="s">
        <v>29</v>
      </c>
      <c r="C21" s="346">
        <v>0</v>
      </c>
      <c r="D21" s="342">
        <f t="shared" si="0"/>
        <v>0</v>
      </c>
      <c r="E21" s="342">
        <f t="shared" si="0"/>
        <v>0</v>
      </c>
      <c r="G21" s="338"/>
    </row>
    <row r="22" spans="1:10" s="328" customFormat="1" ht="31.25" x14ac:dyDescent="0.3">
      <c r="A22" s="335" t="s">
        <v>195</v>
      </c>
      <c r="B22" s="336" t="s">
        <v>30</v>
      </c>
      <c r="C22" s="345">
        <f>C23+C24+C25+C26</f>
        <v>9282686</v>
      </c>
      <c r="D22" s="337">
        <f t="shared" si="0"/>
        <v>9746820.3000000007</v>
      </c>
      <c r="E22" s="337">
        <f t="shared" si="0"/>
        <v>10234161.315000001</v>
      </c>
      <c r="F22" s="332"/>
      <c r="G22" s="338"/>
    </row>
    <row r="23" spans="1:10" ht="31.25" x14ac:dyDescent="0.3">
      <c r="A23" s="339" t="s">
        <v>110</v>
      </c>
      <c r="B23" s="73" t="s">
        <v>111</v>
      </c>
      <c r="C23" s="346">
        <v>2000000</v>
      </c>
      <c r="D23" s="342">
        <f t="shared" si="0"/>
        <v>2100000</v>
      </c>
      <c r="E23" s="342">
        <f t="shared" si="0"/>
        <v>2205000</v>
      </c>
      <c r="G23" s="338"/>
    </row>
    <row r="24" spans="1:10" ht="15.65" x14ac:dyDescent="0.3">
      <c r="A24" s="339" t="s">
        <v>112</v>
      </c>
      <c r="B24" s="73" t="s">
        <v>113</v>
      </c>
      <c r="C24" s="346">
        <v>3308286</v>
      </c>
      <c r="D24" s="342">
        <f t="shared" si="0"/>
        <v>3473700.3000000003</v>
      </c>
      <c r="E24" s="342">
        <f t="shared" si="0"/>
        <v>3647385.3150000004</v>
      </c>
      <c r="G24" s="338"/>
    </row>
    <row r="25" spans="1:10" ht="15.65" x14ac:dyDescent="0.3">
      <c r="A25" s="339" t="s">
        <v>114</v>
      </c>
      <c r="B25" s="73" t="s">
        <v>115</v>
      </c>
      <c r="C25" s="346">
        <v>1766400</v>
      </c>
      <c r="D25" s="342">
        <f t="shared" si="0"/>
        <v>1854720</v>
      </c>
      <c r="E25" s="342">
        <f t="shared" si="0"/>
        <v>1947456</v>
      </c>
      <c r="G25" s="338"/>
    </row>
    <row r="26" spans="1:10" ht="15.65" x14ac:dyDescent="0.3">
      <c r="A26" s="339">
        <v>2210309</v>
      </c>
      <c r="B26" s="73" t="s">
        <v>196</v>
      </c>
      <c r="C26" s="346">
        <v>2208000</v>
      </c>
      <c r="D26" s="342">
        <f t="shared" si="0"/>
        <v>2318400</v>
      </c>
      <c r="E26" s="342">
        <f t="shared" si="0"/>
        <v>2434320</v>
      </c>
      <c r="G26" s="338"/>
    </row>
    <row r="27" spans="1:10" ht="15.65" x14ac:dyDescent="0.3">
      <c r="A27" s="76"/>
      <c r="B27" s="73"/>
      <c r="C27" s="346">
        <v>0</v>
      </c>
      <c r="D27" s="342">
        <f t="shared" si="0"/>
        <v>0</v>
      </c>
      <c r="E27" s="342">
        <f t="shared" si="0"/>
        <v>0</v>
      </c>
      <c r="G27" s="338"/>
    </row>
    <row r="28" spans="1:10" s="328" customFormat="1" ht="31.25" x14ac:dyDescent="0.3">
      <c r="A28" s="335" t="s">
        <v>117</v>
      </c>
      <c r="B28" s="336" t="s">
        <v>118</v>
      </c>
      <c r="C28" s="346">
        <v>0</v>
      </c>
      <c r="D28" s="342">
        <f t="shared" si="0"/>
        <v>0</v>
      </c>
      <c r="E28" s="342">
        <f t="shared" si="0"/>
        <v>0</v>
      </c>
      <c r="F28" s="332"/>
      <c r="G28" s="338"/>
    </row>
    <row r="29" spans="1:10" ht="15.65" x14ac:dyDescent="0.3">
      <c r="A29" s="339" t="s">
        <v>119</v>
      </c>
      <c r="B29" s="73" t="s">
        <v>120</v>
      </c>
      <c r="C29" s="346">
        <v>0</v>
      </c>
      <c r="D29" s="342">
        <f t="shared" si="0"/>
        <v>0</v>
      </c>
      <c r="E29" s="342">
        <f t="shared" si="0"/>
        <v>0</v>
      </c>
      <c r="G29" s="338"/>
      <c r="J29" s="334" t="s">
        <v>338</v>
      </c>
    </row>
    <row r="30" spans="1:10" ht="15.65" x14ac:dyDescent="0.3">
      <c r="A30" s="339" t="s">
        <v>197</v>
      </c>
      <c r="B30" s="73" t="s">
        <v>198</v>
      </c>
      <c r="C30" s="346">
        <v>0</v>
      </c>
      <c r="D30" s="342">
        <f t="shared" si="0"/>
        <v>0</v>
      </c>
      <c r="E30" s="342">
        <f t="shared" si="0"/>
        <v>0</v>
      </c>
      <c r="G30" s="338"/>
    </row>
    <row r="31" spans="1:10" ht="15.65" x14ac:dyDescent="0.3">
      <c r="A31" s="339" t="s">
        <v>121</v>
      </c>
      <c r="B31" s="73" t="s">
        <v>115</v>
      </c>
      <c r="C31" s="346">
        <v>0</v>
      </c>
      <c r="D31" s="342">
        <f t="shared" si="0"/>
        <v>0</v>
      </c>
      <c r="E31" s="342">
        <f t="shared" si="0"/>
        <v>0</v>
      </c>
      <c r="G31" s="338"/>
    </row>
    <row r="32" spans="1:10" s="328" customFormat="1" ht="31.25" x14ac:dyDescent="0.3">
      <c r="A32" s="335" t="s">
        <v>199</v>
      </c>
      <c r="B32" s="336" t="s">
        <v>38</v>
      </c>
      <c r="C32" s="345">
        <f>C33+C34+C35</f>
        <v>2920542.54</v>
      </c>
      <c r="D32" s="337">
        <f t="shared" si="0"/>
        <v>3066569.6670000004</v>
      </c>
      <c r="E32" s="337">
        <f t="shared" si="0"/>
        <v>3219898.1503500007</v>
      </c>
      <c r="F32" s="332"/>
      <c r="G32" s="338"/>
    </row>
    <row r="33" spans="1:7" ht="15.65" x14ac:dyDescent="0.3">
      <c r="A33" s="339" t="s">
        <v>200</v>
      </c>
      <c r="B33" s="73" t="s">
        <v>201</v>
      </c>
      <c r="C33" s="783">
        <f>3946800-1500000-900001</f>
        <v>1546799</v>
      </c>
      <c r="D33" s="342">
        <f t="shared" si="0"/>
        <v>1624138.95</v>
      </c>
      <c r="E33" s="342">
        <f t="shared" si="0"/>
        <v>1705345.8975</v>
      </c>
      <c r="G33" s="338"/>
    </row>
    <row r="34" spans="1:7" ht="15.65" x14ac:dyDescent="0.3">
      <c r="A34" s="339" t="s">
        <v>122</v>
      </c>
      <c r="B34" s="73" t="s">
        <v>123</v>
      </c>
      <c r="C34" s="346">
        <v>324943.54000000004</v>
      </c>
      <c r="D34" s="342">
        <f t="shared" si="0"/>
        <v>341190.71700000006</v>
      </c>
      <c r="E34" s="342">
        <f t="shared" si="0"/>
        <v>358250.25285000011</v>
      </c>
      <c r="G34" s="338"/>
    </row>
    <row r="35" spans="1:7" ht="15.65" x14ac:dyDescent="0.3">
      <c r="A35" s="339" t="s">
        <v>124</v>
      </c>
      <c r="B35" s="73" t="s">
        <v>125</v>
      </c>
      <c r="C35" s="346">
        <v>1048800</v>
      </c>
      <c r="D35" s="342">
        <f t="shared" si="0"/>
        <v>1101240</v>
      </c>
      <c r="E35" s="342">
        <f t="shared" si="0"/>
        <v>1156302</v>
      </c>
      <c r="G35" s="338"/>
    </row>
    <row r="36" spans="1:7" ht="15.65" x14ac:dyDescent="0.3">
      <c r="A36" s="339" t="s">
        <v>202</v>
      </c>
      <c r="B36" s="73" t="s">
        <v>41</v>
      </c>
      <c r="C36" s="346">
        <v>0</v>
      </c>
      <c r="D36" s="342">
        <f t="shared" si="0"/>
        <v>0</v>
      </c>
      <c r="E36" s="342">
        <f t="shared" si="0"/>
        <v>0</v>
      </c>
      <c r="G36" s="338"/>
    </row>
    <row r="37" spans="1:7" s="328" customFormat="1" ht="15.65" x14ac:dyDescent="0.3">
      <c r="A37" s="335" t="s">
        <v>203</v>
      </c>
      <c r="B37" s="336" t="s">
        <v>45</v>
      </c>
      <c r="C37" s="346">
        <v>0</v>
      </c>
      <c r="D37" s="342">
        <f t="shared" si="0"/>
        <v>0</v>
      </c>
      <c r="E37" s="342">
        <f t="shared" si="0"/>
        <v>0</v>
      </c>
      <c r="F37" s="332"/>
      <c r="G37" s="338"/>
    </row>
    <row r="38" spans="1:7" ht="15.65" x14ac:dyDescent="0.3">
      <c r="A38" s="339">
        <v>2210705</v>
      </c>
      <c r="B38" s="73" t="s">
        <v>204</v>
      </c>
      <c r="C38" s="346">
        <v>0</v>
      </c>
      <c r="D38" s="342">
        <f t="shared" si="0"/>
        <v>0</v>
      </c>
      <c r="E38" s="342">
        <f t="shared" si="0"/>
        <v>0</v>
      </c>
      <c r="G38" s="338"/>
    </row>
    <row r="39" spans="1:7" ht="15.65" x14ac:dyDescent="0.3">
      <c r="A39" s="339" t="s">
        <v>127</v>
      </c>
      <c r="B39" s="73" t="s">
        <v>128</v>
      </c>
      <c r="C39" s="346">
        <v>0</v>
      </c>
      <c r="D39" s="342">
        <f t="shared" si="0"/>
        <v>0</v>
      </c>
      <c r="E39" s="342">
        <f t="shared" si="0"/>
        <v>0</v>
      </c>
      <c r="G39" s="338"/>
    </row>
    <row r="40" spans="1:7" ht="15.65" x14ac:dyDescent="0.3">
      <c r="A40" s="339" t="s">
        <v>129</v>
      </c>
      <c r="B40" s="73" t="s">
        <v>130</v>
      </c>
      <c r="C40" s="346">
        <v>0</v>
      </c>
      <c r="D40" s="342">
        <f t="shared" si="0"/>
        <v>0</v>
      </c>
      <c r="E40" s="342">
        <f t="shared" si="0"/>
        <v>0</v>
      </c>
      <c r="G40" s="338"/>
    </row>
    <row r="41" spans="1:7" s="328" customFormat="1" ht="15.65" x14ac:dyDescent="0.3">
      <c r="A41" s="335" t="s">
        <v>205</v>
      </c>
      <c r="B41" s="336" t="s">
        <v>48</v>
      </c>
      <c r="C41" s="345">
        <f>C42+C43</f>
        <v>7680000</v>
      </c>
      <c r="D41" s="337">
        <f t="shared" si="0"/>
        <v>8064000</v>
      </c>
      <c r="E41" s="337">
        <f t="shared" si="0"/>
        <v>8467200</v>
      </c>
      <c r="F41" s="332"/>
      <c r="G41" s="338"/>
    </row>
    <row r="42" spans="1:7" ht="31.25" x14ac:dyDescent="0.3">
      <c r="A42" s="339" t="s">
        <v>131</v>
      </c>
      <c r="B42" s="73" t="s">
        <v>206</v>
      </c>
      <c r="C42" s="346">
        <f>5000000-1500000</f>
        <v>3500000</v>
      </c>
      <c r="D42" s="342">
        <f t="shared" si="0"/>
        <v>3675000</v>
      </c>
      <c r="E42" s="342">
        <f t="shared" si="0"/>
        <v>3858750</v>
      </c>
      <c r="G42" s="338"/>
    </row>
    <row r="43" spans="1:7" ht="15.65" x14ac:dyDescent="0.3">
      <c r="A43" s="339" t="s">
        <v>133</v>
      </c>
      <c r="B43" s="73" t="s">
        <v>207</v>
      </c>
      <c r="C43" s="346">
        <f>5680000-1500000</f>
        <v>4180000</v>
      </c>
      <c r="D43" s="342">
        <f t="shared" si="0"/>
        <v>4389000</v>
      </c>
      <c r="E43" s="342">
        <f t="shared" si="0"/>
        <v>4608450</v>
      </c>
      <c r="G43" s="338"/>
    </row>
    <row r="44" spans="1:7" s="328" customFormat="1" ht="15.65" x14ac:dyDescent="0.3">
      <c r="A44" s="335" t="s">
        <v>208</v>
      </c>
      <c r="B44" s="336" t="s">
        <v>209</v>
      </c>
      <c r="C44" s="345">
        <f>C45</f>
        <v>1922800</v>
      </c>
      <c r="D44" s="337">
        <f t="shared" si="0"/>
        <v>2018940</v>
      </c>
      <c r="E44" s="337">
        <f t="shared" si="0"/>
        <v>2119887</v>
      </c>
      <c r="F44" s="332"/>
      <c r="G44" s="338"/>
    </row>
    <row r="45" spans="1:7" s="328" customFormat="1" ht="15.65" x14ac:dyDescent="0.3">
      <c r="A45" s="339" t="s">
        <v>210</v>
      </c>
      <c r="B45" s="73" t="s">
        <v>66</v>
      </c>
      <c r="C45" s="346">
        <v>1922800</v>
      </c>
      <c r="D45" s="342">
        <f t="shared" si="0"/>
        <v>2018940</v>
      </c>
      <c r="E45" s="342">
        <f t="shared" si="0"/>
        <v>2119887</v>
      </c>
      <c r="F45" s="332"/>
      <c r="G45" s="338"/>
    </row>
    <row r="46" spans="1:7" ht="15.65" x14ac:dyDescent="0.3">
      <c r="A46" s="339">
        <v>2210910</v>
      </c>
      <c r="B46" s="73" t="s">
        <v>563</v>
      </c>
      <c r="C46" s="346">
        <v>0</v>
      </c>
      <c r="D46" s="342">
        <f t="shared" si="0"/>
        <v>0</v>
      </c>
      <c r="E46" s="342">
        <f t="shared" si="0"/>
        <v>0</v>
      </c>
      <c r="G46" s="338"/>
    </row>
    <row r="47" spans="1:7" s="328" customFormat="1" ht="15.65" x14ac:dyDescent="0.3">
      <c r="A47" s="335" t="s">
        <v>211</v>
      </c>
      <c r="B47" s="336" t="s">
        <v>51</v>
      </c>
      <c r="C47" s="345">
        <f>SUM(C48:C55)</f>
        <v>54065640</v>
      </c>
      <c r="D47" s="337">
        <f t="shared" si="0"/>
        <v>56768922</v>
      </c>
      <c r="E47" s="337">
        <f t="shared" si="0"/>
        <v>59607368.100000001</v>
      </c>
      <c r="F47" s="332"/>
      <c r="G47" s="338"/>
    </row>
    <row r="48" spans="1:7" ht="15.65" x14ac:dyDescent="0.3">
      <c r="A48" s="339" t="s">
        <v>212</v>
      </c>
      <c r="B48" s="73" t="s">
        <v>213</v>
      </c>
      <c r="C48" s="346">
        <f>18400000</f>
        <v>18400000</v>
      </c>
      <c r="D48" s="342">
        <f t="shared" si="0"/>
        <v>19320000</v>
      </c>
      <c r="E48" s="342">
        <f t="shared" si="0"/>
        <v>20286000</v>
      </c>
      <c r="F48" s="333">
        <v>45396517.210423067</v>
      </c>
      <c r="G48" s="338"/>
    </row>
    <row r="49" spans="1:7" ht="15.65" x14ac:dyDescent="0.3">
      <c r="A49" s="339" t="s">
        <v>214</v>
      </c>
      <c r="B49" s="73" t="s">
        <v>215</v>
      </c>
      <c r="C49" s="346">
        <f>18400000</f>
        <v>18400000</v>
      </c>
      <c r="D49" s="342">
        <f t="shared" si="0"/>
        <v>19320000</v>
      </c>
      <c r="E49" s="342">
        <f t="shared" si="0"/>
        <v>20286000</v>
      </c>
      <c r="G49" s="338"/>
    </row>
    <row r="50" spans="1:7" ht="15.65" x14ac:dyDescent="0.3">
      <c r="A50" s="339" t="s">
        <v>216</v>
      </c>
      <c r="B50" s="73" t="s">
        <v>217</v>
      </c>
      <c r="C50" s="346">
        <v>1380000</v>
      </c>
      <c r="D50" s="342">
        <f t="shared" si="0"/>
        <v>1449000</v>
      </c>
      <c r="E50" s="342">
        <f t="shared" si="0"/>
        <v>1521450</v>
      </c>
      <c r="G50" s="338"/>
    </row>
    <row r="51" spans="1:7" ht="15.65" x14ac:dyDescent="0.3">
      <c r="A51" s="339">
        <v>2211005</v>
      </c>
      <c r="B51" s="73" t="s">
        <v>218</v>
      </c>
      <c r="C51" s="346">
        <v>0</v>
      </c>
      <c r="D51" s="342">
        <f t="shared" si="0"/>
        <v>0</v>
      </c>
      <c r="E51" s="342">
        <f t="shared" si="0"/>
        <v>0</v>
      </c>
      <c r="G51" s="338"/>
    </row>
    <row r="52" spans="1:7" ht="15.65" x14ac:dyDescent="0.3">
      <c r="A52" s="339" t="s">
        <v>219</v>
      </c>
      <c r="B52" s="73" t="s">
        <v>220</v>
      </c>
      <c r="C52" s="346">
        <f>11500000</f>
        <v>11500000</v>
      </c>
      <c r="D52" s="342">
        <f t="shared" si="0"/>
        <v>12075000</v>
      </c>
      <c r="E52" s="342">
        <f t="shared" si="0"/>
        <v>12678750</v>
      </c>
      <c r="G52" s="338"/>
    </row>
    <row r="53" spans="1:7" ht="15.65" x14ac:dyDescent="0.3">
      <c r="A53" s="339" t="s">
        <v>221</v>
      </c>
      <c r="B53" s="73" t="s">
        <v>222</v>
      </c>
      <c r="C53" s="346">
        <v>2085640</v>
      </c>
      <c r="D53" s="342">
        <f t="shared" si="0"/>
        <v>2189922</v>
      </c>
      <c r="E53" s="342">
        <f t="shared" si="0"/>
        <v>2299418.1</v>
      </c>
      <c r="G53" s="338"/>
    </row>
    <row r="54" spans="1:7" ht="15.65" x14ac:dyDescent="0.3">
      <c r="A54" s="339" t="s">
        <v>223</v>
      </c>
      <c r="B54" s="73" t="s">
        <v>224</v>
      </c>
      <c r="C54" s="346">
        <v>0</v>
      </c>
      <c r="D54" s="342">
        <f t="shared" si="0"/>
        <v>0</v>
      </c>
      <c r="E54" s="342">
        <f t="shared" si="0"/>
        <v>0</v>
      </c>
      <c r="G54" s="338"/>
    </row>
    <row r="55" spans="1:7" ht="15.65" x14ac:dyDescent="0.3">
      <c r="A55" s="339" t="s">
        <v>225</v>
      </c>
      <c r="B55" s="73" t="s">
        <v>226</v>
      </c>
      <c r="C55" s="346">
        <v>2300000</v>
      </c>
      <c r="D55" s="342">
        <f t="shared" si="0"/>
        <v>2415000</v>
      </c>
      <c r="E55" s="342">
        <f t="shared" si="0"/>
        <v>2535750</v>
      </c>
      <c r="G55" s="338"/>
    </row>
    <row r="56" spans="1:7" s="328" customFormat="1" ht="15.65" x14ac:dyDescent="0.3">
      <c r="A56" s="335" t="s">
        <v>227</v>
      </c>
      <c r="B56" s="336" t="s">
        <v>56</v>
      </c>
      <c r="C56" s="345">
        <f>C57+C58+C59</f>
        <v>404800</v>
      </c>
      <c r="D56" s="337">
        <f t="shared" si="0"/>
        <v>425040</v>
      </c>
      <c r="E56" s="337">
        <f t="shared" si="0"/>
        <v>446292</v>
      </c>
      <c r="F56" s="332"/>
      <c r="G56" s="338"/>
    </row>
    <row r="57" spans="1:7" ht="31.25" x14ac:dyDescent="0.3">
      <c r="A57" s="339" t="s">
        <v>138</v>
      </c>
      <c r="B57" s="73" t="s">
        <v>228</v>
      </c>
      <c r="C57" s="346">
        <v>239200</v>
      </c>
      <c r="D57" s="342">
        <f t="shared" si="0"/>
        <v>251160</v>
      </c>
      <c r="E57" s="342">
        <f t="shared" si="0"/>
        <v>263718</v>
      </c>
      <c r="G57" s="338"/>
    </row>
    <row r="58" spans="1:7" ht="15.65" x14ac:dyDescent="0.3">
      <c r="A58" s="339" t="s">
        <v>229</v>
      </c>
      <c r="B58" s="73" t="s">
        <v>58</v>
      </c>
      <c r="C58" s="346">
        <v>110400</v>
      </c>
      <c r="D58" s="342">
        <f t="shared" si="0"/>
        <v>115920</v>
      </c>
      <c r="E58" s="342">
        <f t="shared" si="0"/>
        <v>121716</v>
      </c>
      <c r="G58" s="338"/>
    </row>
    <row r="59" spans="1:7" ht="15.65" x14ac:dyDescent="0.3">
      <c r="A59" s="339" t="s">
        <v>140</v>
      </c>
      <c r="B59" s="73" t="s">
        <v>230</v>
      </c>
      <c r="C59" s="346">
        <v>55200</v>
      </c>
      <c r="D59" s="342">
        <f t="shared" si="0"/>
        <v>57960</v>
      </c>
      <c r="E59" s="342">
        <f t="shared" si="0"/>
        <v>60858</v>
      </c>
      <c r="G59" s="338"/>
    </row>
    <row r="60" spans="1:7" s="328" customFormat="1" ht="15.65" x14ac:dyDescent="0.3">
      <c r="A60" s="335" t="s">
        <v>231</v>
      </c>
      <c r="B60" s="336" t="s">
        <v>60</v>
      </c>
      <c r="C60" s="345">
        <f>C61+C62</f>
        <v>5380000</v>
      </c>
      <c r="D60" s="337">
        <f t="shared" si="0"/>
        <v>5649000</v>
      </c>
      <c r="E60" s="337">
        <f t="shared" si="0"/>
        <v>5931450</v>
      </c>
      <c r="F60" s="332"/>
      <c r="G60" s="338"/>
    </row>
    <row r="61" spans="1:7" ht="15.65" x14ac:dyDescent="0.3">
      <c r="A61" s="339" t="s">
        <v>142</v>
      </c>
      <c r="B61" s="73" t="s">
        <v>143</v>
      </c>
      <c r="C61" s="346">
        <v>4000000</v>
      </c>
      <c r="D61" s="342">
        <f t="shared" si="0"/>
        <v>4200000</v>
      </c>
      <c r="E61" s="342">
        <f t="shared" si="0"/>
        <v>4410000</v>
      </c>
      <c r="G61" s="338"/>
    </row>
    <row r="62" spans="1:7" ht="15.65" x14ac:dyDescent="0.3">
      <c r="A62" s="339" t="s">
        <v>232</v>
      </c>
      <c r="B62" s="73" t="s">
        <v>233</v>
      </c>
      <c r="C62" s="346">
        <v>1380000</v>
      </c>
      <c r="D62" s="342">
        <f t="shared" si="0"/>
        <v>1449000</v>
      </c>
      <c r="E62" s="342">
        <f t="shared" si="0"/>
        <v>1521450</v>
      </c>
      <c r="F62" s="333" t="s">
        <v>1194</v>
      </c>
      <c r="G62" s="338"/>
    </row>
    <row r="63" spans="1:7" s="328" customFormat="1" ht="15.65" x14ac:dyDescent="0.3">
      <c r="A63" s="335" t="s">
        <v>234</v>
      </c>
      <c r="B63" s="336" t="s">
        <v>62</v>
      </c>
      <c r="C63" s="345">
        <f>C64</f>
        <v>5801273</v>
      </c>
      <c r="D63" s="337">
        <f t="shared" si="0"/>
        <v>6091336.6500000004</v>
      </c>
      <c r="E63" s="337">
        <f t="shared" si="0"/>
        <v>6395903.4825000009</v>
      </c>
      <c r="F63" s="332"/>
      <c r="G63" s="338"/>
    </row>
    <row r="64" spans="1:7" s="328" customFormat="1" ht="15.65" x14ac:dyDescent="0.3">
      <c r="A64" s="339">
        <v>2211310</v>
      </c>
      <c r="B64" s="73" t="s">
        <v>788</v>
      </c>
      <c r="C64" s="346">
        <f>8000000-2198727</f>
        <v>5801273</v>
      </c>
      <c r="D64" s="342">
        <f t="shared" si="0"/>
        <v>6091336.6500000004</v>
      </c>
      <c r="E64" s="342">
        <f t="shared" si="0"/>
        <v>6395903.4825000009</v>
      </c>
      <c r="F64" s="332"/>
      <c r="G64" s="338"/>
    </row>
    <row r="65" spans="1:7" ht="15.65" x14ac:dyDescent="0.3">
      <c r="A65" s="339" t="s">
        <v>235</v>
      </c>
      <c r="B65" s="73" t="s">
        <v>236</v>
      </c>
      <c r="C65" s="346">
        <v>0</v>
      </c>
      <c r="D65" s="342">
        <f t="shared" si="0"/>
        <v>0</v>
      </c>
      <c r="E65" s="342">
        <f t="shared" si="0"/>
        <v>0</v>
      </c>
      <c r="G65" s="338"/>
    </row>
    <row r="66" spans="1:7" ht="16.25" customHeight="1" x14ac:dyDescent="0.3">
      <c r="A66" s="339" t="s">
        <v>145</v>
      </c>
      <c r="B66" s="73" t="s">
        <v>65</v>
      </c>
      <c r="C66" s="346">
        <v>0</v>
      </c>
      <c r="D66" s="342">
        <f t="shared" si="0"/>
        <v>0</v>
      </c>
      <c r="E66" s="342">
        <f t="shared" si="0"/>
        <v>0</v>
      </c>
      <c r="G66" s="338"/>
    </row>
    <row r="67" spans="1:7" ht="16.25" customHeight="1" x14ac:dyDescent="0.3">
      <c r="A67" s="339">
        <v>2410104</v>
      </c>
      <c r="B67" s="73" t="s">
        <v>147</v>
      </c>
      <c r="C67" s="346">
        <v>0</v>
      </c>
      <c r="D67" s="342">
        <f t="shared" si="0"/>
        <v>0</v>
      </c>
      <c r="E67" s="342">
        <f t="shared" si="0"/>
        <v>0</v>
      </c>
      <c r="G67" s="338"/>
    </row>
    <row r="68" spans="1:7" s="328" customFormat="1" ht="31.25" x14ac:dyDescent="0.3">
      <c r="A68" s="335" t="s">
        <v>237</v>
      </c>
      <c r="B68" s="336" t="s">
        <v>71</v>
      </c>
      <c r="C68" s="345">
        <f>C69</f>
        <v>2047000</v>
      </c>
      <c r="D68" s="337">
        <f t="shared" si="0"/>
        <v>2149350</v>
      </c>
      <c r="E68" s="337">
        <f t="shared" si="0"/>
        <v>2256817.5</v>
      </c>
      <c r="F68" s="332"/>
      <c r="G68" s="338"/>
    </row>
    <row r="69" spans="1:7" ht="15.65" x14ac:dyDescent="0.3">
      <c r="A69" s="339" t="s">
        <v>148</v>
      </c>
      <c r="B69" s="73" t="s">
        <v>72</v>
      </c>
      <c r="C69" s="346">
        <v>2047000</v>
      </c>
      <c r="D69" s="342">
        <f t="shared" si="0"/>
        <v>2149350</v>
      </c>
      <c r="E69" s="342">
        <f t="shared" si="0"/>
        <v>2256817.5</v>
      </c>
      <c r="G69" s="338"/>
    </row>
    <row r="70" spans="1:7" s="328" customFormat="1" ht="15.65" x14ac:dyDescent="0.3">
      <c r="A70" s="335" t="s">
        <v>238</v>
      </c>
      <c r="B70" s="336" t="s">
        <v>73</v>
      </c>
      <c r="C70" s="345">
        <f>C71+C72+C73+C74</f>
        <v>3753000</v>
      </c>
      <c r="D70" s="337">
        <f t="shared" si="0"/>
        <v>3940650</v>
      </c>
      <c r="E70" s="337">
        <f t="shared" si="0"/>
        <v>4137682.5</v>
      </c>
      <c r="F70" s="332"/>
      <c r="G70" s="338"/>
    </row>
    <row r="71" spans="1:7" ht="15.65" x14ac:dyDescent="0.3">
      <c r="A71" s="339" t="s">
        <v>239</v>
      </c>
      <c r="B71" s="73" t="s">
        <v>240</v>
      </c>
      <c r="C71" s="346">
        <v>0</v>
      </c>
      <c r="D71" s="342">
        <f t="shared" si="0"/>
        <v>0</v>
      </c>
      <c r="E71" s="342">
        <f t="shared" si="0"/>
        <v>0</v>
      </c>
      <c r="G71" s="338"/>
    </row>
    <row r="72" spans="1:7" ht="15.65" x14ac:dyDescent="0.3">
      <c r="A72" s="339" t="s">
        <v>241</v>
      </c>
      <c r="B72" s="73" t="s">
        <v>76</v>
      </c>
      <c r="C72" s="346">
        <v>3500000</v>
      </c>
      <c r="D72" s="342">
        <f t="shared" ref="D72:E83" si="1">C72*1.05</f>
        <v>3675000</v>
      </c>
      <c r="E72" s="342">
        <f t="shared" si="1"/>
        <v>3858750</v>
      </c>
      <c r="G72" s="338"/>
    </row>
    <row r="73" spans="1:7" ht="15.65" x14ac:dyDescent="0.3">
      <c r="A73" s="339" t="s">
        <v>242</v>
      </c>
      <c r="B73" s="73" t="s">
        <v>77</v>
      </c>
      <c r="C73" s="346">
        <v>0</v>
      </c>
      <c r="D73" s="342">
        <f t="shared" si="1"/>
        <v>0</v>
      </c>
      <c r="E73" s="342">
        <f t="shared" si="1"/>
        <v>0</v>
      </c>
      <c r="G73" s="338"/>
    </row>
    <row r="74" spans="1:7" ht="15.65" x14ac:dyDescent="0.3">
      <c r="A74" s="339" t="s">
        <v>242</v>
      </c>
      <c r="B74" s="73" t="s">
        <v>77</v>
      </c>
      <c r="C74" s="346">
        <v>253000</v>
      </c>
      <c r="D74" s="342">
        <f t="shared" si="1"/>
        <v>265650</v>
      </c>
      <c r="E74" s="342">
        <f t="shared" si="1"/>
        <v>278932.5</v>
      </c>
      <c r="G74" s="338"/>
    </row>
    <row r="75" spans="1:7" ht="15.65" x14ac:dyDescent="0.3">
      <c r="A75" s="329">
        <v>3110700</v>
      </c>
      <c r="B75" s="329" t="s">
        <v>747</v>
      </c>
      <c r="C75" s="346">
        <v>0</v>
      </c>
      <c r="D75" s="342">
        <f t="shared" si="1"/>
        <v>0</v>
      </c>
      <c r="E75" s="342">
        <f t="shared" si="1"/>
        <v>0</v>
      </c>
      <c r="G75" s="338"/>
    </row>
    <row r="76" spans="1:7" ht="15.65" x14ac:dyDescent="0.3">
      <c r="A76" s="347" t="s">
        <v>559</v>
      </c>
      <c r="B76" s="348" t="s">
        <v>560</v>
      </c>
      <c r="C76" s="346">
        <v>0</v>
      </c>
      <c r="D76" s="342">
        <f t="shared" si="1"/>
        <v>0</v>
      </c>
      <c r="E76" s="342">
        <f t="shared" si="1"/>
        <v>0</v>
      </c>
      <c r="G76" s="338"/>
    </row>
    <row r="77" spans="1:7" ht="15.65" x14ac:dyDescent="0.3">
      <c r="A77" s="349">
        <v>3110704</v>
      </c>
      <c r="B77" s="348" t="s">
        <v>748</v>
      </c>
      <c r="C77" s="346">
        <v>0</v>
      </c>
      <c r="D77" s="342">
        <f t="shared" si="1"/>
        <v>0</v>
      </c>
      <c r="E77" s="342">
        <f t="shared" si="1"/>
        <v>0</v>
      </c>
      <c r="G77" s="338"/>
    </row>
    <row r="78" spans="1:7" ht="15.65" x14ac:dyDescent="0.3">
      <c r="A78" s="350">
        <v>3111000</v>
      </c>
      <c r="B78" s="351" t="s">
        <v>254</v>
      </c>
      <c r="C78" s="345">
        <f>C79+C80</f>
        <v>1168400</v>
      </c>
      <c r="D78" s="337">
        <f t="shared" si="1"/>
        <v>1226820</v>
      </c>
      <c r="E78" s="337">
        <f t="shared" si="1"/>
        <v>1288161</v>
      </c>
      <c r="G78" s="338"/>
    </row>
    <row r="79" spans="1:7" ht="15.65" x14ac:dyDescent="0.3">
      <c r="A79" s="148">
        <v>3111001</v>
      </c>
      <c r="B79" s="352" t="s">
        <v>255</v>
      </c>
      <c r="C79" s="346">
        <v>690000</v>
      </c>
      <c r="D79" s="342">
        <f t="shared" si="1"/>
        <v>724500</v>
      </c>
      <c r="E79" s="342">
        <f t="shared" si="1"/>
        <v>760725</v>
      </c>
      <c r="G79" s="338"/>
    </row>
    <row r="80" spans="1:7" ht="15.65" x14ac:dyDescent="0.3">
      <c r="A80" s="148">
        <v>3111002</v>
      </c>
      <c r="B80" s="352" t="s">
        <v>256</v>
      </c>
      <c r="C80" s="346">
        <v>478400</v>
      </c>
      <c r="D80" s="342">
        <f t="shared" si="1"/>
        <v>502320</v>
      </c>
      <c r="E80" s="342">
        <f t="shared" si="1"/>
        <v>527436</v>
      </c>
      <c r="G80" s="338"/>
    </row>
    <row r="81" spans="1:7" ht="15.65" x14ac:dyDescent="0.3">
      <c r="A81" s="339"/>
      <c r="B81" s="73" t="s">
        <v>1225</v>
      </c>
      <c r="C81" s="346"/>
      <c r="D81" s="342">
        <f t="shared" si="1"/>
        <v>0</v>
      </c>
      <c r="E81" s="342">
        <f t="shared" si="1"/>
        <v>0</v>
      </c>
      <c r="G81" s="338"/>
    </row>
    <row r="82" spans="1:7" s="328" customFormat="1" ht="15.65" x14ac:dyDescent="0.3">
      <c r="A82" s="335"/>
      <c r="B82" s="336" t="s">
        <v>243</v>
      </c>
      <c r="C82" s="345">
        <f>C78+C75+C70+C68+C63+C60+C56+C47+C44+C41+C32+C28+C22+C18+C15+C9+C7+C5+C81</f>
        <v>3202796023.3277507</v>
      </c>
      <c r="D82" s="337">
        <f t="shared" si="1"/>
        <v>3362935824.4941382</v>
      </c>
      <c r="E82" s="337">
        <f t="shared" si="1"/>
        <v>3531082615.7188454</v>
      </c>
      <c r="F82" s="332">
        <v>3277605990.54</v>
      </c>
      <c r="G82" s="338"/>
    </row>
    <row r="83" spans="1:7" s="328" customFormat="1" ht="15.65" x14ac:dyDescent="0.3">
      <c r="A83" s="335"/>
      <c r="B83" s="336" t="s">
        <v>88</v>
      </c>
      <c r="C83" s="346">
        <v>107400000</v>
      </c>
      <c r="D83" s="342">
        <f t="shared" si="1"/>
        <v>112770000</v>
      </c>
      <c r="E83" s="342">
        <f t="shared" si="1"/>
        <v>118408500</v>
      </c>
      <c r="F83" s="332">
        <f>C82-F82</f>
        <v>-74809967.212249279</v>
      </c>
      <c r="G83" s="338"/>
    </row>
    <row r="84" spans="1:7" s="328" customFormat="1" ht="15.65" x14ac:dyDescent="0.3">
      <c r="A84" s="335"/>
      <c r="B84" s="336" t="s">
        <v>244</v>
      </c>
      <c r="C84" s="345">
        <f>C82-C83</f>
        <v>3095396023.3277507</v>
      </c>
      <c r="D84" s="345">
        <f t="shared" ref="D84:E84" si="2">D82-D83</f>
        <v>3250165824.4941382</v>
      </c>
      <c r="E84" s="345">
        <f t="shared" si="2"/>
        <v>3412674115.7188454</v>
      </c>
      <c r="F84" s="332"/>
      <c r="G84" s="338"/>
    </row>
    <row r="85" spans="1:7" ht="30" customHeight="1" x14ac:dyDescent="0.3">
      <c r="A85" s="78"/>
      <c r="B85" s="353" t="s">
        <v>246</v>
      </c>
      <c r="C85" s="79" t="s">
        <v>184</v>
      </c>
      <c r="D85" s="79" t="s">
        <v>746</v>
      </c>
      <c r="E85" s="79" t="s">
        <v>791</v>
      </c>
      <c r="G85" s="338"/>
    </row>
    <row r="86" spans="1:7" ht="15.65" x14ac:dyDescent="0.3">
      <c r="A86" s="339">
        <v>3110599</v>
      </c>
      <c r="B86" s="355" t="s">
        <v>330</v>
      </c>
      <c r="C86" s="81">
        <v>0</v>
      </c>
      <c r="D86" s="337">
        <f t="shared" ref="D86:E93" si="3">C86*1.05</f>
        <v>0</v>
      </c>
      <c r="E86" s="82">
        <f t="shared" si="3"/>
        <v>0</v>
      </c>
      <c r="G86" s="338"/>
    </row>
    <row r="87" spans="1:7" ht="15.65" x14ac:dyDescent="0.3">
      <c r="A87" s="339">
        <v>3110599</v>
      </c>
      <c r="B87" s="356" t="s">
        <v>888</v>
      </c>
      <c r="C87" s="81">
        <v>0</v>
      </c>
      <c r="D87" s="337">
        <f t="shared" si="3"/>
        <v>0</v>
      </c>
      <c r="E87" s="82">
        <f t="shared" si="3"/>
        <v>0</v>
      </c>
      <c r="G87" s="338"/>
    </row>
    <row r="88" spans="1:7" ht="15.65" x14ac:dyDescent="0.3">
      <c r="A88" s="347" t="s">
        <v>272</v>
      </c>
      <c r="B88" s="357" t="s">
        <v>273</v>
      </c>
      <c r="C88" s="81">
        <v>22583013</v>
      </c>
      <c r="D88" s="337"/>
      <c r="E88" s="82"/>
      <c r="G88" s="338"/>
    </row>
    <row r="89" spans="1:7" ht="15.65" x14ac:dyDescent="0.3">
      <c r="A89" s="347">
        <v>3110707</v>
      </c>
      <c r="B89" t="s">
        <v>1304</v>
      </c>
      <c r="C89" s="358">
        <v>13000000</v>
      </c>
      <c r="D89" s="337">
        <f t="shared" si="3"/>
        <v>13650000</v>
      </c>
      <c r="E89" s="82">
        <f t="shared" si="3"/>
        <v>14332500</v>
      </c>
      <c r="G89" s="338"/>
    </row>
    <row r="90" spans="1:7" ht="15.65" x14ac:dyDescent="0.3">
      <c r="A90" s="76">
        <v>2410104</v>
      </c>
      <c r="B90" s="356" t="s">
        <v>749</v>
      </c>
      <c r="C90" s="354">
        <v>0</v>
      </c>
      <c r="D90" s="337">
        <f t="shared" si="3"/>
        <v>0</v>
      </c>
      <c r="E90" s="82">
        <f>D90*1.05</f>
        <v>0</v>
      </c>
      <c r="G90" s="338"/>
    </row>
    <row r="91" spans="1:7" ht="15.65" x14ac:dyDescent="0.3">
      <c r="A91" s="339">
        <v>3110504</v>
      </c>
      <c r="B91" s="73" t="s">
        <v>526</v>
      </c>
      <c r="C91" s="745">
        <f>-3195797.85+41332944</f>
        <v>38137146.149999999</v>
      </c>
      <c r="D91" s="337">
        <f t="shared" si="3"/>
        <v>40044003.457500003</v>
      </c>
      <c r="E91" s="82">
        <f t="shared" si="3"/>
        <v>42046203.630375005</v>
      </c>
      <c r="G91" s="338"/>
    </row>
    <row r="92" spans="1:7" ht="15.65" x14ac:dyDescent="0.3">
      <c r="A92" s="339"/>
      <c r="B92" s="73"/>
      <c r="C92" s="359"/>
      <c r="D92" s="337">
        <f t="shared" si="3"/>
        <v>0</v>
      </c>
      <c r="E92" s="82">
        <f t="shared" si="3"/>
        <v>0</v>
      </c>
      <c r="G92" s="338"/>
    </row>
    <row r="93" spans="1:7" s="328" customFormat="1" ht="15.65" x14ac:dyDescent="0.3">
      <c r="A93" s="335"/>
      <c r="B93" s="360" t="s">
        <v>246</v>
      </c>
      <c r="C93" s="361">
        <f>C87+C88+C89+C90+C91</f>
        <v>73720159.150000006</v>
      </c>
      <c r="D93" s="337">
        <f t="shared" si="3"/>
        <v>77406167.107500017</v>
      </c>
      <c r="E93" s="82">
        <f t="shared" si="3"/>
        <v>81276475.462875023</v>
      </c>
      <c r="F93" s="332"/>
      <c r="G93" s="338"/>
    </row>
    <row r="94" spans="1:7" s="328" customFormat="1" ht="15.65" x14ac:dyDescent="0.3">
      <c r="A94" s="335"/>
      <c r="B94" s="360"/>
      <c r="C94" s="361"/>
      <c r="D94" s="361"/>
      <c r="E94" s="361"/>
      <c r="F94" s="332"/>
      <c r="G94" s="338"/>
    </row>
    <row r="95" spans="1:7" ht="16.25" x14ac:dyDescent="0.3">
      <c r="A95" s="83"/>
      <c r="B95" s="362"/>
      <c r="C95" s="363"/>
      <c r="D95" s="86"/>
      <c r="E95" s="86"/>
      <c r="G95" s="338"/>
    </row>
    <row r="96" spans="1:7" ht="16.25" x14ac:dyDescent="0.3">
      <c r="A96" s="83"/>
      <c r="B96" s="362"/>
      <c r="C96" s="363"/>
      <c r="D96" s="86"/>
      <c r="E96" s="86"/>
      <c r="G96" s="338"/>
    </row>
    <row r="97" spans="1:7" ht="31.25" x14ac:dyDescent="0.3">
      <c r="A97" s="148"/>
      <c r="B97" s="334" t="s">
        <v>787</v>
      </c>
      <c r="C97" s="79" t="s">
        <v>184</v>
      </c>
      <c r="D97" s="79" t="s">
        <v>746</v>
      </c>
      <c r="E97" s="79" t="s">
        <v>791</v>
      </c>
      <c r="G97" s="338"/>
    </row>
    <row r="98" spans="1:7" ht="15.65" x14ac:dyDescent="0.3">
      <c r="A98" s="148"/>
      <c r="B98" s="334"/>
      <c r="C98" s="76"/>
      <c r="D98" s="82"/>
      <c r="E98" s="82">
        <f t="shared" ref="E98:E121" si="4">D98*1.05</f>
        <v>0</v>
      </c>
      <c r="G98" s="338"/>
    </row>
    <row r="99" spans="1:7" ht="15.65" x14ac:dyDescent="0.3">
      <c r="B99" s="336" t="s">
        <v>194</v>
      </c>
      <c r="C99" s="345">
        <f>C100</f>
        <v>72450</v>
      </c>
      <c r="D99" s="337">
        <f t="shared" ref="D99:D121" si="5">C99*1.05</f>
        <v>76072.5</v>
      </c>
      <c r="E99" s="86">
        <f t="shared" si="4"/>
        <v>79876.125</v>
      </c>
      <c r="G99" s="338"/>
    </row>
    <row r="100" spans="1:7" ht="15.65" x14ac:dyDescent="0.3">
      <c r="A100" s="339" t="s">
        <v>105</v>
      </c>
      <c r="B100" s="73" t="s">
        <v>106</v>
      </c>
      <c r="C100" s="346">
        <v>72450</v>
      </c>
      <c r="D100" s="342">
        <f t="shared" si="5"/>
        <v>76072.5</v>
      </c>
      <c r="E100" s="82">
        <f t="shared" si="4"/>
        <v>79876.125</v>
      </c>
      <c r="G100" s="338"/>
    </row>
    <row r="101" spans="1:7" ht="31.25" x14ac:dyDescent="0.3">
      <c r="A101" s="335" t="s">
        <v>195</v>
      </c>
      <c r="B101" s="336" t="s">
        <v>30</v>
      </c>
      <c r="C101" s="364">
        <f>C102</f>
        <v>690200.56</v>
      </c>
      <c r="D101" s="365">
        <f t="shared" si="5"/>
        <v>724710.58800000011</v>
      </c>
      <c r="E101" s="366">
        <f t="shared" si="4"/>
        <v>760946.1174000001</v>
      </c>
      <c r="G101" s="338"/>
    </row>
    <row r="102" spans="1:7" ht="31.25" x14ac:dyDescent="0.3">
      <c r="A102" s="339" t="s">
        <v>110</v>
      </c>
      <c r="B102" s="73" t="s">
        <v>111</v>
      </c>
      <c r="C102" s="346">
        <v>690200.56</v>
      </c>
      <c r="D102" s="342">
        <f t="shared" si="5"/>
        <v>724710.58800000011</v>
      </c>
      <c r="E102" s="82">
        <f t="shared" si="4"/>
        <v>760946.1174000001</v>
      </c>
      <c r="G102" s="338"/>
    </row>
    <row r="103" spans="1:7" ht="31.25" x14ac:dyDescent="0.3">
      <c r="A103" s="335" t="s">
        <v>199</v>
      </c>
      <c r="B103" s="336" t="s">
        <v>38</v>
      </c>
      <c r="C103" s="345">
        <f>C104+C105</f>
        <v>115000</v>
      </c>
      <c r="D103" s="337">
        <f t="shared" si="5"/>
        <v>120750</v>
      </c>
      <c r="E103" s="86">
        <f t="shared" si="4"/>
        <v>126787.5</v>
      </c>
      <c r="G103" s="338"/>
    </row>
    <row r="104" spans="1:7" ht="15.65" x14ac:dyDescent="0.3">
      <c r="A104" s="339" t="s">
        <v>200</v>
      </c>
      <c r="B104" s="73" t="s">
        <v>201</v>
      </c>
      <c r="C104" s="346">
        <v>0</v>
      </c>
      <c r="D104" s="342">
        <f t="shared" si="5"/>
        <v>0</v>
      </c>
      <c r="E104" s="82">
        <f t="shared" si="4"/>
        <v>0</v>
      </c>
      <c r="G104" s="338"/>
    </row>
    <row r="105" spans="1:7" s="328" customFormat="1" ht="15.65" x14ac:dyDescent="0.3">
      <c r="A105" s="339" t="s">
        <v>122</v>
      </c>
      <c r="B105" s="73" t="s">
        <v>303</v>
      </c>
      <c r="C105" s="346">
        <v>115000</v>
      </c>
      <c r="D105" s="342">
        <f t="shared" si="5"/>
        <v>120750</v>
      </c>
      <c r="E105" s="82">
        <f t="shared" si="4"/>
        <v>126787.5</v>
      </c>
      <c r="F105" s="332"/>
      <c r="G105" s="338"/>
    </row>
    <row r="106" spans="1:7" ht="15.65" x14ac:dyDescent="0.3">
      <c r="A106" s="335" t="s">
        <v>208</v>
      </c>
      <c r="B106" s="336" t="s">
        <v>209</v>
      </c>
      <c r="C106" s="345">
        <f>C107</f>
        <v>46000</v>
      </c>
      <c r="D106" s="337">
        <f t="shared" si="5"/>
        <v>48300</v>
      </c>
      <c r="E106" s="86">
        <f t="shared" si="4"/>
        <v>50715</v>
      </c>
      <c r="G106" s="338"/>
    </row>
    <row r="107" spans="1:7" s="328" customFormat="1" ht="15.65" x14ac:dyDescent="0.3">
      <c r="A107" s="339" t="s">
        <v>210</v>
      </c>
      <c r="B107" s="73" t="s">
        <v>66</v>
      </c>
      <c r="C107" s="346">
        <v>46000</v>
      </c>
      <c r="D107" s="342">
        <f t="shared" si="5"/>
        <v>48300</v>
      </c>
      <c r="E107" s="82">
        <f t="shared" si="4"/>
        <v>50715</v>
      </c>
      <c r="F107" s="332"/>
      <c r="G107" s="338"/>
    </row>
    <row r="108" spans="1:7" ht="15.65" x14ac:dyDescent="0.3">
      <c r="A108" s="335" t="s">
        <v>211</v>
      </c>
      <c r="B108" s="336" t="s">
        <v>51</v>
      </c>
      <c r="C108" s="345">
        <f>C109+C110</f>
        <v>1242000</v>
      </c>
      <c r="D108" s="337">
        <f t="shared" si="5"/>
        <v>1304100</v>
      </c>
      <c r="E108" s="86">
        <f t="shared" si="4"/>
        <v>1369305</v>
      </c>
      <c r="G108" s="338"/>
    </row>
    <row r="109" spans="1:7" s="328" customFormat="1" ht="15.65" x14ac:dyDescent="0.3">
      <c r="A109" s="339" t="s">
        <v>216</v>
      </c>
      <c r="B109" s="73" t="s">
        <v>217</v>
      </c>
      <c r="C109" s="346">
        <v>1150000</v>
      </c>
      <c r="D109" s="342">
        <f t="shared" si="5"/>
        <v>1207500</v>
      </c>
      <c r="E109" s="82">
        <f t="shared" si="4"/>
        <v>1267875</v>
      </c>
      <c r="F109" s="332"/>
      <c r="G109" s="338"/>
    </row>
    <row r="110" spans="1:7" ht="15.65" x14ac:dyDescent="0.3">
      <c r="A110" s="339" t="s">
        <v>219</v>
      </c>
      <c r="B110" s="73" t="s">
        <v>304</v>
      </c>
      <c r="C110" s="346">
        <v>92000</v>
      </c>
      <c r="D110" s="342">
        <f t="shared" si="5"/>
        <v>96600</v>
      </c>
      <c r="E110" s="82">
        <f t="shared" si="4"/>
        <v>101430</v>
      </c>
      <c r="G110" s="338"/>
    </row>
    <row r="111" spans="1:7" ht="15.65" x14ac:dyDescent="0.3">
      <c r="A111" s="339">
        <v>2211016</v>
      </c>
      <c r="B111" s="73" t="s">
        <v>305</v>
      </c>
      <c r="C111" s="346">
        <v>0</v>
      </c>
      <c r="D111" s="342">
        <f t="shared" si="5"/>
        <v>0</v>
      </c>
      <c r="E111" s="82">
        <f t="shared" si="4"/>
        <v>0</v>
      </c>
      <c r="G111" s="338"/>
    </row>
    <row r="112" spans="1:7" s="328" customFormat="1" ht="15.65" x14ac:dyDescent="0.3">
      <c r="A112" s="335" t="s">
        <v>227</v>
      </c>
      <c r="B112" s="336" t="s">
        <v>56</v>
      </c>
      <c r="C112" s="345">
        <f>C113+C114</f>
        <v>339503</v>
      </c>
      <c r="D112" s="337">
        <f t="shared" si="5"/>
        <v>356478.15</v>
      </c>
      <c r="E112" s="86">
        <f t="shared" si="4"/>
        <v>374302.05750000005</v>
      </c>
      <c r="F112" s="332"/>
      <c r="G112" s="338"/>
    </row>
    <row r="113" spans="1:7" ht="31.25" x14ac:dyDescent="0.3">
      <c r="A113" s="339" t="s">
        <v>138</v>
      </c>
      <c r="B113" s="73" t="s">
        <v>228</v>
      </c>
      <c r="C113" s="346">
        <v>103063</v>
      </c>
      <c r="D113" s="342">
        <f t="shared" si="5"/>
        <v>108216.15000000001</v>
      </c>
      <c r="E113" s="82">
        <f t="shared" si="4"/>
        <v>113626.95750000002</v>
      </c>
      <c r="G113" s="338"/>
    </row>
    <row r="114" spans="1:7" s="328" customFormat="1" ht="15.65" x14ac:dyDescent="0.3">
      <c r="A114" s="339" t="s">
        <v>229</v>
      </c>
      <c r="B114" s="73" t="s">
        <v>58</v>
      </c>
      <c r="C114" s="346">
        <v>236440</v>
      </c>
      <c r="D114" s="342">
        <f t="shared" si="5"/>
        <v>248262</v>
      </c>
      <c r="E114" s="82">
        <f t="shared" si="4"/>
        <v>260675.1</v>
      </c>
      <c r="F114" s="332"/>
      <c r="G114" s="338"/>
    </row>
    <row r="115" spans="1:7" ht="15.65" x14ac:dyDescent="0.3">
      <c r="A115" s="335" t="s">
        <v>231</v>
      </c>
      <c r="B115" s="336" t="s">
        <v>60</v>
      </c>
      <c r="C115" s="346">
        <v>0</v>
      </c>
      <c r="D115" s="342">
        <f t="shared" si="5"/>
        <v>0</v>
      </c>
      <c r="E115" s="82">
        <f t="shared" si="4"/>
        <v>0</v>
      </c>
      <c r="G115" s="338"/>
    </row>
    <row r="116" spans="1:7" ht="15.65" x14ac:dyDescent="0.3">
      <c r="A116" s="339" t="s">
        <v>142</v>
      </c>
      <c r="B116" s="73" t="s">
        <v>143</v>
      </c>
      <c r="C116" s="346">
        <v>0</v>
      </c>
      <c r="D116" s="342">
        <f t="shared" si="5"/>
        <v>0</v>
      </c>
      <c r="E116" s="82">
        <f t="shared" si="4"/>
        <v>0</v>
      </c>
      <c r="G116" s="338"/>
    </row>
    <row r="117" spans="1:7" ht="31.25" x14ac:dyDescent="0.3">
      <c r="A117" s="335" t="s">
        <v>237</v>
      </c>
      <c r="B117" s="336" t="s">
        <v>71</v>
      </c>
      <c r="C117" s="364">
        <f>C118</f>
        <v>211600</v>
      </c>
      <c r="D117" s="365">
        <f t="shared" si="5"/>
        <v>222180</v>
      </c>
      <c r="E117" s="366">
        <f t="shared" si="4"/>
        <v>233289</v>
      </c>
      <c r="G117" s="338"/>
    </row>
    <row r="118" spans="1:7" s="328" customFormat="1" ht="15.65" x14ac:dyDescent="0.3">
      <c r="A118" s="339" t="s">
        <v>148</v>
      </c>
      <c r="B118" s="73" t="s">
        <v>72</v>
      </c>
      <c r="C118" s="346">
        <v>211600</v>
      </c>
      <c r="D118" s="342">
        <f t="shared" si="5"/>
        <v>222180</v>
      </c>
      <c r="E118" s="82">
        <f t="shared" si="4"/>
        <v>233289</v>
      </c>
      <c r="F118" s="332"/>
      <c r="G118" s="338"/>
    </row>
    <row r="119" spans="1:7" ht="15.65" x14ac:dyDescent="0.3">
      <c r="A119" s="335">
        <v>3111000</v>
      </c>
      <c r="B119" s="336" t="s">
        <v>306</v>
      </c>
      <c r="C119" s="345">
        <f>C120</f>
        <v>35650</v>
      </c>
      <c r="D119" s="337">
        <f t="shared" si="5"/>
        <v>37432.5</v>
      </c>
      <c r="E119" s="86">
        <f t="shared" si="4"/>
        <v>39304.125</v>
      </c>
      <c r="G119" s="338"/>
    </row>
    <row r="120" spans="1:7" s="328" customFormat="1" ht="15.65" x14ac:dyDescent="0.3">
      <c r="A120" s="339">
        <v>3111001</v>
      </c>
      <c r="B120" s="73" t="s">
        <v>306</v>
      </c>
      <c r="C120" s="346">
        <v>35650</v>
      </c>
      <c r="D120" s="342">
        <f t="shared" si="5"/>
        <v>37432.5</v>
      </c>
      <c r="E120" s="82">
        <f t="shared" si="4"/>
        <v>39304.125</v>
      </c>
      <c r="F120" s="332"/>
      <c r="G120" s="338"/>
    </row>
    <row r="121" spans="1:7" s="328" customFormat="1" ht="15.65" x14ac:dyDescent="0.3">
      <c r="A121" s="75"/>
      <c r="B121" s="336" t="s">
        <v>307</v>
      </c>
      <c r="C121" s="345">
        <v>2752403.56</v>
      </c>
      <c r="D121" s="337">
        <f t="shared" si="5"/>
        <v>2890023.7380000004</v>
      </c>
      <c r="E121" s="86">
        <f t="shared" si="4"/>
        <v>3034524.9249000004</v>
      </c>
      <c r="F121" s="332"/>
      <c r="G121" s="338"/>
    </row>
    <row r="122" spans="1:7" s="328" customFormat="1" ht="15.65" x14ac:dyDescent="0.3">
      <c r="A122" s="335"/>
      <c r="B122" s="336"/>
      <c r="C122" s="346"/>
      <c r="D122" s="342"/>
      <c r="E122" s="82"/>
      <c r="F122" s="332"/>
      <c r="G122" s="338"/>
    </row>
    <row r="123" spans="1:7" s="328" customFormat="1" ht="16.25" x14ac:dyDescent="0.35">
      <c r="A123" s="335"/>
      <c r="B123" s="367" t="s">
        <v>759</v>
      </c>
      <c r="C123" s="368"/>
      <c r="D123" s="368"/>
      <c r="E123" s="368"/>
      <c r="F123" s="332"/>
      <c r="G123" s="338"/>
    </row>
    <row r="124" spans="1:7" s="328" customFormat="1" ht="16.25" x14ac:dyDescent="0.35">
      <c r="A124" s="335"/>
      <c r="B124" s="362" t="s">
        <v>760</v>
      </c>
      <c r="C124" s="368"/>
      <c r="D124" s="368"/>
      <c r="E124" s="368"/>
      <c r="F124" s="332"/>
      <c r="G124" s="338"/>
    </row>
    <row r="125" spans="1:7" s="328" customFormat="1" ht="16.25" x14ac:dyDescent="0.35">
      <c r="A125" s="335"/>
      <c r="B125" s="362" t="s">
        <v>308</v>
      </c>
      <c r="C125" s="368"/>
      <c r="D125" s="368"/>
      <c r="E125" s="368"/>
      <c r="F125" s="369"/>
      <c r="G125" s="338"/>
    </row>
    <row r="126" spans="1:7" s="328" customFormat="1" ht="16.25" x14ac:dyDescent="0.35">
      <c r="A126" s="335"/>
      <c r="B126" s="362" t="s">
        <v>243</v>
      </c>
      <c r="C126" s="368">
        <f>C84+C121</f>
        <v>3098148426.8877506</v>
      </c>
      <c r="D126" s="337">
        <f t="shared" ref="D126:E127" si="6">C126*1.05</f>
        <v>3253055848.2321382</v>
      </c>
      <c r="E126" s="337">
        <f t="shared" si="6"/>
        <v>3415708640.6437454</v>
      </c>
      <c r="F126" s="332"/>
      <c r="G126" s="338"/>
    </row>
    <row r="127" spans="1:7" s="328" customFormat="1" ht="16.25" x14ac:dyDescent="0.35">
      <c r="A127" s="75"/>
      <c r="B127" s="362" t="s">
        <v>246</v>
      </c>
      <c r="C127" s="370">
        <f>C93</f>
        <v>73720159.150000006</v>
      </c>
      <c r="D127" s="337">
        <f t="shared" si="6"/>
        <v>77406167.107500017</v>
      </c>
      <c r="E127" s="337">
        <f t="shared" si="6"/>
        <v>81276475.462875023</v>
      </c>
      <c r="F127" s="332"/>
      <c r="G127" s="338"/>
    </row>
    <row r="128" spans="1:7" s="328" customFormat="1" ht="16.25" x14ac:dyDescent="0.35">
      <c r="A128" s="75"/>
      <c r="B128" s="362" t="s">
        <v>309</v>
      </c>
      <c r="C128" s="370">
        <f>C126+C127</f>
        <v>3171868586.0377507</v>
      </c>
      <c r="D128" s="370">
        <f t="shared" ref="D128:E128" si="7">D126+D127</f>
        <v>3330462015.3396382</v>
      </c>
      <c r="E128" s="370">
        <f t="shared" si="7"/>
        <v>3496985116.1066203</v>
      </c>
      <c r="F128" s="332"/>
      <c r="G128" s="338"/>
    </row>
    <row r="129" spans="1:7" s="328" customFormat="1" ht="16.25" x14ac:dyDescent="0.35">
      <c r="A129" s="75"/>
      <c r="B129" s="362"/>
      <c r="C129" s="370"/>
      <c r="D129" s="370"/>
      <c r="E129" s="370"/>
      <c r="F129" s="332"/>
      <c r="G129" s="338"/>
    </row>
    <row r="130" spans="1:7" s="328" customFormat="1" ht="31.25" x14ac:dyDescent="0.3">
      <c r="A130" s="78"/>
      <c r="B130" s="353" t="s">
        <v>310</v>
      </c>
      <c r="C130" s="79" t="s">
        <v>184</v>
      </c>
      <c r="D130" s="79" t="s">
        <v>746</v>
      </c>
      <c r="E130" s="79" t="s">
        <v>791</v>
      </c>
      <c r="F130" s="332"/>
      <c r="G130" s="338"/>
    </row>
    <row r="131" spans="1:7" s="328" customFormat="1" ht="16.25" x14ac:dyDescent="0.35">
      <c r="A131" s="76">
        <v>2110100</v>
      </c>
      <c r="B131" s="336" t="s">
        <v>311</v>
      </c>
      <c r="C131" s="371">
        <v>0</v>
      </c>
      <c r="D131" s="371">
        <v>0</v>
      </c>
      <c r="E131" s="371">
        <v>0</v>
      </c>
      <c r="F131" s="332"/>
      <c r="G131" s="338"/>
    </row>
    <row r="132" spans="1:7" ht="16.25" x14ac:dyDescent="0.35">
      <c r="A132" s="75">
        <v>2110101</v>
      </c>
      <c r="B132" s="73" t="s">
        <v>2</v>
      </c>
      <c r="C132" s="371">
        <v>0</v>
      </c>
      <c r="D132" s="371">
        <v>0</v>
      </c>
      <c r="E132" s="371">
        <v>0</v>
      </c>
      <c r="G132" s="338"/>
    </row>
    <row r="133" spans="1:7" ht="16.25" x14ac:dyDescent="0.35">
      <c r="A133" s="76">
        <v>2210200</v>
      </c>
      <c r="B133" s="360" t="s">
        <v>26</v>
      </c>
      <c r="C133" s="371">
        <v>0</v>
      </c>
      <c r="D133" s="371">
        <v>0</v>
      </c>
      <c r="E133" s="371">
        <v>0</v>
      </c>
      <c r="G133" s="338"/>
    </row>
    <row r="134" spans="1:7" ht="16.25" x14ac:dyDescent="0.35">
      <c r="A134" s="75">
        <v>2210201</v>
      </c>
      <c r="B134" s="372" t="s">
        <v>27</v>
      </c>
      <c r="C134" s="371">
        <v>0</v>
      </c>
      <c r="D134" s="371">
        <v>0</v>
      </c>
      <c r="E134" s="371">
        <v>0</v>
      </c>
      <c r="G134" s="338"/>
    </row>
    <row r="135" spans="1:7" ht="31.25" x14ac:dyDescent="0.3">
      <c r="A135" s="76">
        <v>2210300</v>
      </c>
      <c r="B135" s="343" t="s">
        <v>30</v>
      </c>
      <c r="C135" s="345">
        <f>C136+C137</f>
        <v>868114.39199999999</v>
      </c>
      <c r="D135" s="337">
        <f t="shared" ref="D135:E145" si="8">C135*1.05</f>
        <v>911520.11160000006</v>
      </c>
      <c r="E135" s="337">
        <f t="shared" si="8"/>
        <v>957096.11718000006</v>
      </c>
      <c r="G135" s="338"/>
    </row>
    <row r="136" spans="1:7" ht="15.65" x14ac:dyDescent="0.3">
      <c r="A136" s="76">
        <v>2210301</v>
      </c>
      <c r="B136" s="372" t="s">
        <v>31</v>
      </c>
      <c r="C136" s="346">
        <v>44160</v>
      </c>
      <c r="D136" s="342">
        <f t="shared" si="8"/>
        <v>46368</v>
      </c>
      <c r="E136" s="82">
        <f t="shared" si="8"/>
        <v>48686.400000000001</v>
      </c>
      <c r="G136" s="338"/>
    </row>
    <row r="137" spans="1:7" ht="15.65" x14ac:dyDescent="0.3">
      <c r="A137" s="75">
        <v>2210303</v>
      </c>
      <c r="B137" s="372" t="s">
        <v>32</v>
      </c>
      <c r="C137" s="346">
        <f>73349.392+750605</f>
        <v>823954.39199999999</v>
      </c>
      <c r="D137" s="342">
        <f t="shared" si="8"/>
        <v>865152.11160000006</v>
      </c>
      <c r="E137" s="82">
        <f t="shared" si="8"/>
        <v>908409.71718000015</v>
      </c>
      <c r="G137" s="338"/>
    </row>
    <row r="138" spans="1:7" ht="31.25" x14ac:dyDescent="0.3">
      <c r="A138" s="76">
        <v>2210500</v>
      </c>
      <c r="B138" s="343" t="s">
        <v>38</v>
      </c>
      <c r="C138" s="345">
        <f>C139</f>
        <v>65240.144</v>
      </c>
      <c r="D138" s="337">
        <f t="shared" si="8"/>
        <v>68502.151200000008</v>
      </c>
      <c r="E138" s="86">
        <f t="shared" si="8"/>
        <v>71927.258760000012</v>
      </c>
      <c r="G138" s="338"/>
    </row>
    <row r="139" spans="1:7" ht="15.65" x14ac:dyDescent="0.3">
      <c r="A139" s="75">
        <v>2210505</v>
      </c>
      <c r="B139" s="372" t="s">
        <v>41</v>
      </c>
      <c r="C139" s="346">
        <v>65240.144</v>
      </c>
      <c r="D139" s="342">
        <f t="shared" si="8"/>
        <v>68502.151200000008</v>
      </c>
      <c r="E139" s="82">
        <f t="shared" si="8"/>
        <v>71927.258760000012</v>
      </c>
      <c r="G139" s="338"/>
    </row>
    <row r="140" spans="1:7" ht="15.65" x14ac:dyDescent="0.3">
      <c r="A140" s="76">
        <v>2210700</v>
      </c>
      <c r="B140" s="343" t="s">
        <v>45</v>
      </c>
      <c r="C140" s="345">
        <f>C141+C142+C143</f>
        <v>278195.48800000001</v>
      </c>
      <c r="D140" s="337">
        <f t="shared" si="8"/>
        <v>292105.26240000001</v>
      </c>
      <c r="E140" s="86">
        <f t="shared" si="8"/>
        <v>306710.52552000002</v>
      </c>
      <c r="G140" s="338"/>
    </row>
    <row r="141" spans="1:7" ht="15.65" x14ac:dyDescent="0.3">
      <c r="A141" s="76">
        <v>2210710</v>
      </c>
      <c r="B141" s="372" t="s">
        <v>789</v>
      </c>
      <c r="C141" s="346">
        <v>100556.368</v>
      </c>
      <c r="D141" s="342">
        <f t="shared" si="8"/>
        <v>105584.18640000001</v>
      </c>
      <c r="E141" s="82">
        <f t="shared" si="8"/>
        <v>110863.39572000001</v>
      </c>
      <c r="G141" s="338"/>
    </row>
    <row r="142" spans="1:7" ht="15.65" x14ac:dyDescent="0.3">
      <c r="A142" s="339">
        <v>2210711</v>
      </c>
      <c r="B142" s="73" t="s">
        <v>47</v>
      </c>
      <c r="C142" s="346">
        <v>74295.888000000006</v>
      </c>
      <c r="D142" s="342">
        <f t="shared" si="8"/>
        <v>78010.682400000005</v>
      </c>
      <c r="E142" s="82">
        <f t="shared" si="8"/>
        <v>81911.216520000002</v>
      </c>
      <c r="G142" s="338"/>
    </row>
    <row r="143" spans="1:7" ht="15.65" x14ac:dyDescent="0.3">
      <c r="A143" s="335" t="s">
        <v>312</v>
      </c>
      <c r="B143" s="73" t="s">
        <v>46</v>
      </c>
      <c r="C143" s="346">
        <v>103343.232</v>
      </c>
      <c r="D143" s="342">
        <f t="shared" si="8"/>
        <v>108510.39360000001</v>
      </c>
      <c r="E143" s="82">
        <f t="shared" si="8"/>
        <v>113935.91328000002</v>
      </c>
      <c r="G143" s="338"/>
    </row>
    <row r="144" spans="1:7" ht="15.65" x14ac:dyDescent="0.3">
      <c r="A144" s="76">
        <v>2211100</v>
      </c>
      <c r="B144" s="360" t="s">
        <v>56</v>
      </c>
      <c r="C144" s="345">
        <f>C145</f>
        <v>36800</v>
      </c>
      <c r="D144" s="337">
        <f t="shared" si="8"/>
        <v>38640</v>
      </c>
      <c r="E144" s="86">
        <f t="shared" si="8"/>
        <v>40572</v>
      </c>
      <c r="G144" s="338"/>
    </row>
    <row r="145" spans="1:7" ht="15.65" x14ac:dyDescent="0.3">
      <c r="A145" s="76">
        <v>2211103</v>
      </c>
      <c r="B145" s="372" t="s">
        <v>59</v>
      </c>
      <c r="C145" s="346">
        <v>36800</v>
      </c>
      <c r="D145" s="342">
        <f t="shared" si="8"/>
        <v>38640</v>
      </c>
      <c r="E145" s="82">
        <f t="shared" si="8"/>
        <v>40572</v>
      </c>
      <c r="G145" s="338"/>
    </row>
    <row r="146" spans="1:7" ht="15.65" x14ac:dyDescent="0.3">
      <c r="A146" s="75"/>
      <c r="B146" s="360" t="s">
        <v>313</v>
      </c>
      <c r="C146" s="345">
        <f>C131+C133+C135+C138+C140+C144</f>
        <v>1248350.024</v>
      </c>
      <c r="D146" s="345">
        <f t="shared" ref="D146:E146" si="9">D131+D133+D135+D138+D140+D144</f>
        <v>1310767.5252</v>
      </c>
      <c r="E146" s="345">
        <f t="shared" si="9"/>
        <v>1376305.9014600001</v>
      </c>
      <c r="G146" s="338"/>
    </row>
    <row r="147" spans="1:7" ht="15.65" x14ac:dyDescent="0.3">
      <c r="A147" s="76"/>
      <c r="B147" s="334"/>
      <c r="C147" s="346">
        <v>0</v>
      </c>
      <c r="D147" s="82"/>
      <c r="E147" s="82"/>
      <c r="G147" s="338"/>
    </row>
    <row r="148" spans="1:7" ht="31.25" x14ac:dyDescent="0.3">
      <c r="A148" s="78"/>
      <c r="B148" s="73" t="s">
        <v>385</v>
      </c>
      <c r="C148" s="79" t="s">
        <v>184</v>
      </c>
      <c r="D148" s="79" t="s">
        <v>746</v>
      </c>
      <c r="E148" s="79" t="s">
        <v>791</v>
      </c>
      <c r="G148" s="338"/>
    </row>
    <row r="149" spans="1:7" ht="15.65" x14ac:dyDescent="0.3">
      <c r="A149" s="76">
        <v>3110599</v>
      </c>
      <c r="B149" s="353" t="s">
        <v>779</v>
      </c>
      <c r="C149" s="354">
        <v>0</v>
      </c>
      <c r="D149" s="82"/>
      <c r="E149" s="82">
        <f t="shared" ref="E149:E155" si="10">D149*1.05</f>
        <v>0</v>
      </c>
      <c r="G149" s="338"/>
    </row>
    <row r="150" spans="1:7" ht="15.65" x14ac:dyDescent="0.3">
      <c r="A150" s="76">
        <v>3110504</v>
      </c>
      <c r="B150" s="373" t="s">
        <v>778</v>
      </c>
      <c r="C150" s="746">
        <f>-445300.15+8906003</f>
        <v>8460702.8499999996</v>
      </c>
      <c r="D150" s="342">
        <f t="shared" ref="D150:D156" si="11">C150*1.05</f>
        <v>8883737.9924999997</v>
      </c>
      <c r="E150" s="82">
        <f t="shared" si="10"/>
        <v>9327924.8921249993</v>
      </c>
      <c r="G150" s="338"/>
    </row>
    <row r="151" spans="1:7" ht="15.65" x14ac:dyDescent="0.3">
      <c r="A151" s="76"/>
      <c r="B151" s="355" t="s">
        <v>699</v>
      </c>
      <c r="C151" s="374">
        <v>0</v>
      </c>
      <c r="D151" s="342">
        <f t="shared" si="11"/>
        <v>0</v>
      </c>
      <c r="E151" s="82">
        <f t="shared" si="10"/>
        <v>0</v>
      </c>
      <c r="G151" s="338"/>
    </row>
    <row r="152" spans="1:7" s="328" customFormat="1" ht="15.65" x14ac:dyDescent="0.3">
      <c r="A152" s="75"/>
      <c r="B152" s="360" t="s">
        <v>314</v>
      </c>
      <c r="C152" s="341">
        <f>SUM(C149:C151)</f>
        <v>8460702.8499999996</v>
      </c>
      <c r="D152" s="342">
        <f t="shared" si="11"/>
        <v>8883737.9924999997</v>
      </c>
      <c r="E152" s="82">
        <f t="shared" si="10"/>
        <v>9327924.8921249993</v>
      </c>
      <c r="F152" s="332"/>
      <c r="G152" s="338"/>
    </row>
    <row r="153" spans="1:7" s="328" customFormat="1" ht="15.65" x14ac:dyDescent="0.3">
      <c r="A153" s="75"/>
      <c r="B153" s="336" t="s">
        <v>315</v>
      </c>
      <c r="C153" s="374">
        <v>9403748.0240000002</v>
      </c>
      <c r="D153" s="342">
        <f t="shared" si="11"/>
        <v>9873935.4252000004</v>
      </c>
      <c r="E153" s="82">
        <f t="shared" si="10"/>
        <v>10367632.196460001</v>
      </c>
      <c r="F153" s="332"/>
      <c r="G153" s="338"/>
    </row>
    <row r="154" spans="1:7" s="328" customFormat="1" ht="15.65" x14ac:dyDescent="0.3">
      <c r="A154" s="75"/>
      <c r="B154" s="336" t="s">
        <v>316</v>
      </c>
      <c r="C154" s="374">
        <f>C126+C146</f>
        <v>3099396776.9117508</v>
      </c>
      <c r="D154" s="342">
        <f t="shared" si="11"/>
        <v>3254366615.7573385</v>
      </c>
      <c r="E154" s="82">
        <f t="shared" si="10"/>
        <v>3417084946.5452056</v>
      </c>
      <c r="F154" s="332"/>
      <c r="G154" s="338"/>
    </row>
    <row r="155" spans="1:7" s="328" customFormat="1" ht="15.65" x14ac:dyDescent="0.3">
      <c r="A155" s="75"/>
      <c r="B155" s="336" t="s">
        <v>317</v>
      </c>
      <c r="C155" s="374">
        <f>C127+C152</f>
        <v>82180862</v>
      </c>
      <c r="D155" s="342">
        <f t="shared" si="11"/>
        <v>86289905.100000009</v>
      </c>
      <c r="E155" s="82">
        <f t="shared" si="10"/>
        <v>90604400.355000019</v>
      </c>
      <c r="F155" s="332"/>
      <c r="G155" s="338"/>
    </row>
    <row r="156" spans="1:7" s="328" customFormat="1" ht="15.65" x14ac:dyDescent="0.3">
      <c r="B156" s="336" t="s">
        <v>318</v>
      </c>
      <c r="C156" s="361">
        <v>3353678099.1240001</v>
      </c>
      <c r="D156" s="337">
        <f t="shared" si="11"/>
        <v>3521362004.0802002</v>
      </c>
      <c r="E156" s="361">
        <f>E154+E155</f>
        <v>3507689346.9002056</v>
      </c>
      <c r="F156" s="330"/>
      <c r="G156" s="338"/>
    </row>
    <row r="157" spans="1:7" ht="15.65" x14ac:dyDescent="0.3">
      <c r="A157" s="328" t="s">
        <v>388</v>
      </c>
      <c r="B157" s="329"/>
      <c r="C157" s="330"/>
    </row>
    <row r="158" spans="1:7" ht="15.65" x14ac:dyDescent="0.3">
      <c r="A158" s="328" t="s">
        <v>181</v>
      </c>
      <c r="B158" s="329"/>
      <c r="C158" s="330"/>
    </row>
    <row r="159" spans="1:7" ht="15.65" x14ac:dyDescent="0.3">
      <c r="A159" s="328" t="s">
        <v>887</v>
      </c>
      <c r="B159" s="329"/>
      <c r="C159" s="330"/>
    </row>
    <row r="160" spans="1:7" ht="15.65" x14ac:dyDescent="0.3">
      <c r="A160" s="335"/>
      <c r="B160" s="375"/>
      <c r="C160" s="361"/>
      <c r="D160" s="361"/>
      <c r="E160" s="361"/>
    </row>
    <row r="161" spans="1:5" ht="31.25" x14ac:dyDescent="0.3">
      <c r="A161" s="335"/>
      <c r="B161" s="78" t="s">
        <v>889</v>
      </c>
      <c r="C161" s="79" t="s">
        <v>184</v>
      </c>
      <c r="D161" s="79" t="s">
        <v>746</v>
      </c>
      <c r="E161" s="79" t="s">
        <v>791</v>
      </c>
    </row>
    <row r="162" spans="1:5" ht="15.65" x14ac:dyDescent="0.3">
      <c r="A162" s="78"/>
      <c r="B162" s="78" t="s">
        <v>890</v>
      </c>
      <c r="C162" s="79"/>
      <c r="D162" s="79"/>
      <c r="E162" s="79"/>
    </row>
    <row r="163" spans="1:5" ht="15.65" x14ac:dyDescent="0.3">
      <c r="A163" s="80" t="s">
        <v>185</v>
      </c>
      <c r="B163" s="80" t="s">
        <v>186</v>
      </c>
      <c r="C163" s="81">
        <f>C164</f>
        <v>0</v>
      </c>
      <c r="D163" s="82"/>
      <c r="E163" s="82"/>
    </row>
    <row r="164" spans="1:5" ht="15.65" x14ac:dyDescent="0.3">
      <c r="A164" s="83" t="s">
        <v>98</v>
      </c>
      <c r="B164" s="83" t="s">
        <v>99</v>
      </c>
      <c r="C164" s="81">
        <v>0</v>
      </c>
      <c r="D164" s="82"/>
      <c r="E164" s="82"/>
    </row>
    <row r="165" spans="1:5" ht="15.65" x14ac:dyDescent="0.3">
      <c r="A165" s="80" t="s">
        <v>3</v>
      </c>
      <c r="B165" s="80" t="s">
        <v>4</v>
      </c>
      <c r="C165" s="78">
        <f>C166</f>
        <v>0</v>
      </c>
      <c r="D165" s="82"/>
      <c r="E165" s="82"/>
    </row>
    <row r="166" spans="1:5" ht="15.65" x14ac:dyDescent="0.3">
      <c r="A166" s="83" t="s">
        <v>5</v>
      </c>
      <c r="B166" s="83" t="s">
        <v>6</v>
      </c>
      <c r="C166" s="81">
        <v>0</v>
      </c>
      <c r="D166" s="82"/>
      <c r="E166" s="82"/>
    </row>
    <row r="167" spans="1:5" ht="15.65" x14ac:dyDescent="0.3">
      <c r="A167" s="80" t="s">
        <v>289</v>
      </c>
      <c r="B167" s="80" t="s">
        <v>290</v>
      </c>
      <c r="C167" s="81">
        <f>C168+C169</f>
        <v>0</v>
      </c>
      <c r="D167" s="82"/>
      <c r="E167" s="82"/>
    </row>
    <row r="168" spans="1:5" ht="15.65" x14ac:dyDescent="0.3">
      <c r="A168" s="83" t="s">
        <v>291</v>
      </c>
      <c r="B168" s="83" t="s">
        <v>10</v>
      </c>
      <c r="C168" s="81">
        <v>0</v>
      </c>
      <c r="D168" s="82"/>
      <c r="E168" s="82"/>
    </row>
    <row r="169" spans="1:5" ht="15.65" x14ac:dyDescent="0.3">
      <c r="A169" s="83" t="s">
        <v>292</v>
      </c>
      <c r="B169" s="83" t="s">
        <v>293</v>
      </c>
      <c r="C169" s="81">
        <v>0</v>
      </c>
      <c r="D169" s="82"/>
      <c r="E169" s="82"/>
    </row>
    <row r="170" spans="1:5" ht="15.65" x14ac:dyDescent="0.3">
      <c r="A170" s="80" t="s">
        <v>294</v>
      </c>
      <c r="B170" s="80" t="s">
        <v>295</v>
      </c>
      <c r="C170" s="81">
        <v>0</v>
      </c>
      <c r="D170" s="82"/>
      <c r="E170" s="82"/>
    </row>
    <row r="171" spans="1:5" ht="15.65" x14ac:dyDescent="0.3">
      <c r="A171" s="80">
        <v>2410104</v>
      </c>
      <c r="B171" s="84" t="s">
        <v>268</v>
      </c>
      <c r="C171" s="78">
        <v>0</v>
      </c>
      <c r="D171" s="82"/>
      <c r="E171" s="82"/>
    </row>
    <row r="172" spans="1:5" ht="15.65" x14ac:dyDescent="0.3">
      <c r="A172" s="80" t="s">
        <v>192</v>
      </c>
      <c r="B172" s="80" t="s">
        <v>23</v>
      </c>
      <c r="C172" s="376">
        <f>C173+C174</f>
        <v>25000000</v>
      </c>
      <c r="D172" s="86">
        <f>C172*1.05</f>
        <v>26250000</v>
      </c>
      <c r="E172" s="86">
        <f>D172*1.05</f>
        <v>27562500</v>
      </c>
    </row>
    <row r="173" spans="1:5" ht="15.65" x14ac:dyDescent="0.3">
      <c r="A173" s="83" t="s">
        <v>101</v>
      </c>
      <c r="B173" s="83" t="s">
        <v>102</v>
      </c>
      <c r="C173" s="377">
        <v>22000000</v>
      </c>
      <c r="D173" s="82">
        <f t="shared" ref="D173:E237" si="12">C173*1.05</f>
        <v>23100000</v>
      </c>
      <c r="E173" s="82">
        <f t="shared" si="12"/>
        <v>24255000</v>
      </c>
    </row>
    <row r="174" spans="1:5" ht="15.65" x14ac:dyDescent="0.3">
      <c r="A174" s="83" t="s">
        <v>103</v>
      </c>
      <c r="B174" s="83" t="s">
        <v>104</v>
      </c>
      <c r="C174" s="377">
        <v>3000000</v>
      </c>
      <c r="D174" s="82">
        <f t="shared" si="12"/>
        <v>3150000</v>
      </c>
      <c r="E174" s="82">
        <f t="shared" si="12"/>
        <v>3307500</v>
      </c>
    </row>
    <row r="175" spans="1:5" ht="15.65" x14ac:dyDescent="0.3">
      <c r="A175" s="80" t="s">
        <v>193</v>
      </c>
      <c r="B175" s="80" t="s">
        <v>194</v>
      </c>
      <c r="C175" s="376">
        <f>C176+C177+C178</f>
        <v>1270000</v>
      </c>
      <c r="D175" s="82">
        <f t="shared" si="12"/>
        <v>1333500</v>
      </c>
      <c r="E175" s="82">
        <f t="shared" si="12"/>
        <v>1400175</v>
      </c>
    </row>
    <row r="176" spans="1:5" ht="15.65" x14ac:dyDescent="0.3">
      <c r="A176" s="83">
        <v>2210201</v>
      </c>
      <c r="B176" s="83" t="s">
        <v>106</v>
      </c>
      <c r="C176" s="377">
        <v>840000</v>
      </c>
      <c r="D176" s="82">
        <f t="shared" si="12"/>
        <v>882000</v>
      </c>
      <c r="E176" s="82">
        <f t="shared" si="12"/>
        <v>926100</v>
      </c>
    </row>
    <row r="177" spans="1:5" ht="15.65" x14ac:dyDescent="0.3">
      <c r="A177" s="83" t="s">
        <v>107</v>
      </c>
      <c r="B177" s="83" t="s">
        <v>108</v>
      </c>
      <c r="C177" s="377">
        <v>280000</v>
      </c>
      <c r="D177" s="82">
        <f t="shared" si="12"/>
        <v>294000</v>
      </c>
      <c r="E177" s="82">
        <f t="shared" si="12"/>
        <v>308700</v>
      </c>
    </row>
    <row r="178" spans="1:5" ht="15.65" x14ac:dyDescent="0.3">
      <c r="A178" s="83" t="s">
        <v>109</v>
      </c>
      <c r="B178" s="83" t="s">
        <v>29</v>
      </c>
      <c r="C178" s="377">
        <v>150000</v>
      </c>
      <c r="D178" s="82">
        <f t="shared" si="12"/>
        <v>157500</v>
      </c>
      <c r="E178" s="82">
        <f t="shared" si="12"/>
        <v>165375</v>
      </c>
    </row>
    <row r="179" spans="1:5" ht="31.25" x14ac:dyDescent="0.3">
      <c r="A179" s="80" t="s">
        <v>195</v>
      </c>
      <c r="B179" s="80" t="s">
        <v>30</v>
      </c>
      <c r="C179" s="376">
        <f>C180+C181+C182</f>
        <v>15000000</v>
      </c>
      <c r="D179" s="86">
        <f t="shared" si="12"/>
        <v>15750000</v>
      </c>
      <c r="E179" s="86">
        <f t="shared" si="12"/>
        <v>16537500</v>
      </c>
    </row>
    <row r="180" spans="1:5" ht="31.25" x14ac:dyDescent="0.3">
      <c r="A180" s="83" t="s">
        <v>110</v>
      </c>
      <c r="B180" s="83" t="s">
        <v>111</v>
      </c>
      <c r="C180" s="377">
        <v>2000000</v>
      </c>
      <c r="D180" s="82">
        <f t="shared" si="12"/>
        <v>2100000</v>
      </c>
      <c r="E180" s="82">
        <f t="shared" si="12"/>
        <v>2205000</v>
      </c>
    </row>
    <row r="181" spans="1:5" ht="15.65" x14ac:dyDescent="0.3">
      <c r="A181" s="83" t="s">
        <v>112</v>
      </c>
      <c r="B181" s="83" t="s">
        <v>113</v>
      </c>
      <c r="C181" s="377">
        <v>6500000</v>
      </c>
      <c r="D181" s="82">
        <f t="shared" si="12"/>
        <v>6825000</v>
      </c>
      <c r="E181" s="82">
        <f t="shared" si="12"/>
        <v>7166250</v>
      </c>
    </row>
    <row r="182" spans="1:5" ht="15.65" x14ac:dyDescent="0.3">
      <c r="A182" s="83" t="s">
        <v>114</v>
      </c>
      <c r="B182" s="83" t="s">
        <v>115</v>
      </c>
      <c r="C182" s="377">
        <v>6500000</v>
      </c>
      <c r="D182" s="82">
        <f t="shared" si="12"/>
        <v>6825000</v>
      </c>
      <c r="E182" s="82">
        <f t="shared" si="12"/>
        <v>7166250</v>
      </c>
    </row>
    <row r="183" spans="1:5" ht="31.25" x14ac:dyDescent="0.3">
      <c r="A183" s="80" t="s">
        <v>117</v>
      </c>
      <c r="B183" s="80" t="s">
        <v>118</v>
      </c>
      <c r="C183" s="376">
        <v>0</v>
      </c>
      <c r="D183" s="82">
        <f t="shared" si="12"/>
        <v>0</v>
      </c>
      <c r="E183" s="82">
        <f t="shared" si="12"/>
        <v>0</v>
      </c>
    </row>
    <row r="184" spans="1:5" ht="15.65" x14ac:dyDescent="0.3">
      <c r="A184" s="83" t="s">
        <v>119</v>
      </c>
      <c r="B184" s="83" t="s">
        <v>120</v>
      </c>
      <c r="C184" s="377">
        <v>0</v>
      </c>
      <c r="D184" s="82">
        <f t="shared" si="12"/>
        <v>0</v>
      </c>
      <c r="E184" s="82">
        <f t="shared" si="12"/>
        <v>0</v>
      </c>
    </row>
    <row r="185" spans="1:5" ht="15.65" x14ac:dyDescent="0.3">
      <c r="A185" s="83" t="s">
        <v>197</v>
      </c>
      <c r="B185" s="83" t="s">
        <v>198</v>
      </c>
      <c r="C185" s="377">
        <v>0</v>
      </c>
      <c r="D185" s="82">
        <f t="shared" si="12"/>
        <v>0</v>
      </c>
      <c r="E185" s="82">
        <f t="shared" si="12"/>
        <v>0</v>
      </c>
    </row>
    <row r="186" spans="1:5" ht="15.65" x14ac:dyDescent="0.3">
      <c r="A186" s="83" t="s">
        <v>121</v>
      </c>
      <c r="B186" s="83" t="s">
        <v>115</v>
      </c>
      <c r="C186" s="377">
        <v>0</v>
      </c>
      <c r="D186" s="82">
        <f t="shared" si="12"/>
        <v>0</v>
      </c>
      <c r="E186" s="82">
        <f t="shared" si="12"/>
        <v>0</v>
      </c>
    </row>
    <row r="187" spans="1:5" ht="31.25" x14ac:dyDescent="0.3">
      <c r="A187" s="80" t="s">
        <v>199</v>
      </c>
      <c r="B187" s="80" t="s">
        <v>38</v>
      </c>
      <c r="C187" s="376">
        <f>C188+C189+C190</f>
        <v>500000</v>
      </c>
      <c r="D187" s="86">
        <f t="shared" si="12"/>
        <v>525000</v>
      </c>
      <c r="E187" s="86">
        <f t="shared" si="12"/>
        <v>551250</v>
      </c>
    </row>
    <row r="188" spans="1:5" ht="15.65" x14ac:dyDescent="0.3">
      <c r="A188" s="83" t="s">
        <v>200</v>
      </c>
      <c r="B188" s="83" t="s">
        <v>201</v>
      </c>
      <c r="C188" s="377">
        <v>500000</v>
      </c>
      <c r="D188" s="82">
        <f t="shared" si="12"/>
        <v>525000</v>
      </c>
      <c r="E188" s="82">
        <f t="shared" si="12"/>
        <v>551250</v>
      </c>
    </row>
    <row r="189" spans="1:5" ht="15.65" x14ac:dyDescent="0.3">
      <c r="A189" s="83" t="s">
        <v>122</v>
      </c>
      <c r="B189" s="83" t="s">
        <v>123</v>
      </c>
      <c r="C189" s="377">
        <v>0</v>
      </c>
      <c r="D189" s="82">
        <f t="shared" si="12"/>
        <v>0</v>
      </c>
      <c r="E189" s="82">
        <f t="shared" si="12"/>
        <v>0</v>
      </c>
    </row>
    <row r="190" spans="1:5" ht="15.65" x14ac:dyDescent="0.3">
      <c r="A190" s="83" t="s">
        <v>124</v>
      </c>
      <c r="B190" s="83" t="s">
        <v>125</v>
      </c>
      <c r="C190" s="377">
        <v>0</v>
      </c>
      <c r="D190" s="82">
        <f t="shared" si="12"/>
        <v>0</v>
      </c>
      <c r="E190" s="82">
        <f t="shared" si="12"/>
        <v>0</v>
      </c>
    </row>
    <row r="191" spans="1:5" ht="15.65" x14ac:dyDescent="0.3">
      <c r="A191" s="83" t="s">
        <v>202</v>
      </c>
      <c r="B191" s="83" t="s">
        <v>41</v>
      </c>
      <c r="C191" s="82"/>
      <c r="D191" s="82">
        <f t="shared" si="12"/>
        <v>0</v>
      </c>
      <c r="E191" s="82">
        <f t="shared" si="12"/>
        <v>0</v>
      </c>
    </row>
    <row r="192" spans="1:5" ht="15.65" x14ac:dyDescent="0.3">
      <c r="A192" s="80" t="s">
        <v>259</v>
      </c>
      <c r="B192" s="80" t="s">
        <v>42</v>
      </c>
      <c r="C192" s="377">
        <f>C193</f>
        <v>0</v>
      </c>
      <c r="D192" s="82">
        <f t="shared" si="12"/>
        <v>0</v>
      </c>
      <c r="E192" s="82">
        <f t="shared" si="12"/>
        <v>0</v>
      </c>
    </row>
    <row r="193" spans="1:5" ht="15.65" x14ac:dyDescent="0.3">
      <c r="A193" s="83" t="s">
        <v>260</v>
      </c>
      <c r="B193" s="83" t="s">
        <v>43</v>
      </c>
      <c r="C193" s="377">
        <v>0</v>
      </c>
      <c r="D193" s="82">
        <f t="shared" si="12"/>
        <v>0</v>
      </c>
      <c r="E193" s="82">
        <f t="shared" si="12"/>
        <v>0</v>
      </c>
    </row>
    <row r="194" spans="1:5" ht="15.65" x14ac:dyDescent="0.3">
      <c r="A194" s="80" t="s">
        <v>203</v>
      </c>
      <c r="B194" s="80" t="s">
        <v>45</v>
      </c>
      <c r="C194" s="376">
        <f>C195+C196</f>
        <v>2000000</v>
      </c>
      <c r="D194" s="82">
        <f t="shared" si="12"/>
        <v>2100000</v>
      </c>
      <c r="E194" s="82">
        <f t="shared" si="12"/>
        <v>2205000</v>
      </c>
    </row>
    <row r="195" spans="1:5" ht="15.65" x14ac:dyDescent="0.3">
      <c r="A195" s="83" t="s">
        <v>127</v>
      </c>
      <c r="B195" s="83" t="s">
        <v>128</v>
      </c>
      <c r="C195" s="377">
        <v>1000000</v>
      </c>
      <c r="D195" s="82">
        <f t="shared" si="12"/>
        <v>1050000</v>
      </c>
      <c r="E195" s="82">
        <f t="shared" si="12"/>
        <v>1102500</v>
      </c>
    </row>
    <row r="196" spans="1:5" ht="15.65" x14ac:dyDescent="0.3">
      <c r="A196" s="83" t="s">
        <v>129</v>
      </c>
      <c r="B196" s="83" t="s">
        <v>130</v>
      </c>
      <c r="C196" s="377">
        <v>1000000</v>
      </c>
      <c r="D196" s="82">
        <f t="shared" si="12"/>
        <v>1050000</v>
      </c>
      <c r="E196" s="82">
        <f t="shared" si="12"/>
        <v>1102500</v>
      </c>
    </row>
    <row r="197" spans="1:5" ht="15.65" x14ac:dyDescent="0.3">
      <c r="A197" s="80" t="s">
        <v>205</v>
      </c>
      <c r="B197" s="80" t="s">
        <v>48</v>
      </c>
      <c r="C197" s="376">
        <f>C198+C199</f>
        <v>8600000</v>
      </c>
      <c r="D197" s="82">
        <f t="shared" si="12"/>
        <v>9030000</v>
      </c>
      <c r="E197" s="82">
        <f t="shared" si="12"/>
        <v>9481500</v>
      </c>
    </row>
    <row r="198" spans="1:5" ht="31.25" x14ac:dyDescent="0.3">
      <c r="A198" s="83" t="s">
        <v>131</v>
      </c>
      <c r="B198" s="83" t="s">
        <v>206</v>
      </c>
      <c r="C198" s="377">
        <v>5600000</v>
      </c>
      <c r="D198" s="82">
        <f t="shared" si="12"/>
        <v>5880000</v>
      </c>
      <c r="E198" s="82">
        <f t="shared" si="12"/>
        <v>6174000</v>
      </c>
    </row>
    <row r="199" spans="1:5" ht="15.65" x14ac:dyDescent="0.3">
      <c r="A199" s="83" t="s">
        <v>133</v>
      </c>
      <c r="B199" s="83" t="s">
        <v>207</v>
      </c>
      <c r="C199" s="377">
        <v>3000000</v>
      </c>
      <c r="D199" s="82">
        <f t="shared" si="12"/>
        <v>3150000</v>
      </c>
      <c r="E199" s="82">
        <f t="shared" si="12"/>
        <v>3307500</v>
      </c>
    </row>
    <row r="200" spans="1:5" ht="15.65" x14ac:dyDescent="0.3">
      <c r="A200" s="80" t="s">
        <v>208</v>
      </c>
      <c r="B200" s="80" t="s">
        <v>209</v>
      </c>
      <c r="C200" s="82"/>
      <c r="D200" s="82">
        <f t="shared" si="12"/>
        <v>0</v>
      </c>
      <c r="E200" s="82">
        <f t="shared" si="12"/>
        <v>0</v>
      </c>
    </row>
    <row r="201" spans="1:5" ht="15.65" x14ac:dyDescent="0.3">
      <c r="A201" s="83" t="s">
        <v>210</v>
      </c>
      <c r="B201" s="83" t="s">
        <v>66</v>
      </c>
      <c r="C201" s="82"/>
      <c r="D201" s="82">
        <f t="shared" si="12"/>
        <v>0</v>
      </c>
      <c r="E201" s="82">
        <f t="shared" si="12"/>
        <v>0</v>
      </c>
    </row>
    <row r="202" spans="1:5" ht="15.65" x14ac:dyDescent="0.3">
      <c r="A202" s="80" t="s">
        <v>211</v>
      </c>
      <c r="B202" s="80" t="s">
        <v>51</v>
      </c>
      <c r="C202" s="376">
        <f>C203+C204+C205+C206+C207+C208+C209+C210+C211+C212</f>
        <v>245797778</v>
      </c>
      <c r="D202" s="82">
        <f t="shared" si="12"/>
        <v>258087666.90000001</v>
      </c>
      <c r="E202" s="82">
        <f t="shared" si="12"/>
        <v>270992050.245</v>
      </c>
    </row>
    <row r="203" spans="1:5" ht="15.65" x14ac:dyDescent="0.3">
      <c r="A203" s="83" t="s">
        <v>212</v>
      </c>
      <c r="B203" s="83" t="s">
        <v>213</v>
      </c>
      <c r="C203" s="377">
        <f>20000000+38000000</f>
        <v>58000000</v>
      </c>
      <c r="D203" s="82">
        <f t="shared" si="12"/>
        <v>60900000</v>
      </c>
      <c r="E203" s="82">
        <f t="shared" si="12"/>
        <v>63945000</v>
      </c>
    </row>
    <row r="204" spans="1:5" ht="15.65" x14ac:dyDescent="0.3">
      <c r="A204" s="83" t="s">
        <v>214</v>
      </c>
      <c r="B204" s="83" t="s">
        <v>215</v>
      </c>
      <c r="C204" s="377">
        <f>20000000+45000000</f>
        <v>65000000</v>
      </c>
      <c r="D204" s="82">
        <f t="shared" si="12"/>
        <v>68250000</v>
      </c>
      <c r="E204" s="82">
        <f t="shared" si="12"/>
        <v>71662500</v>
      </c>
    </row>
    <row r="205" spans="1:5" ht="15.65" x14ac:dyDescent="0.3">
      <c r="A205" s="83" t="s">
        <v>216</v>
      </c>
      <c r="B205" s="83" t="s">
        <v>217</v>
      </c>
      <c r="C205" s="377">
        <v>800525</v>
      </c>
      <c r="D205" s="82">
        <f t="shared" si="12"/>
        <v>840551.25</v>
      </c>
      <c r="E205" s="82">
        <f t="shared" si="12"/>
        <v>882578.8125</v>
      </c>
    </row>
    <row r="206" spans="1:5" ht="15.65" x14ac:dyDescent="0.3">
      <c r="A206" s="83" t="s">
        <v>261</v>
      </c>
      <c r="B206" s="83" t="s">
        <v>218</v>
      </c>
      <c r="C206" s="377">
        <v>10000000</v>
      </c>
      <c r="D206" s="82">
        <f t="shared" si="12"/>
        <v>10500000</v>
      </c>
      <c r="E206" s="82">
        <f t="shared" si="12"/>
        <v>11025000</v>
      </c>
    </row>
    <row r="207" spans="1:5" ht="15.65" x14ac:dyDescent="0.3">
      <c r="A207" s="83" t="s">
        <v>219</v>
      </c>
      <c r="B207" s="83" t="s">
        <v>220</v>
      </c>
      <c r="C207" s="377">
        <f>10000000+30000000</f>
        <v>40000000</v>
      </c>
      <c r="D207" s="82">
        <f t="shared" si="12"/>
        <v>42000000</v>
      </c>
      <c r="E207" s="82">
        <f t="shared" si="12"/>
        <v>44100000</v>
      </c>
    </row>
    <row r="208" spans="1:5" ht="15.65" x14ac:dyDescent="0.3">
      <c r="A208" s="83" t="s">
        <v>221</v>
      </c>
      <c r="B208" s="83" t="s">
        <v>222</v>
      </c>
      <c r="C208" s="377">
        <f>17997253+35000000</f>
        <v>52997253</v>
      </c>
      <c r="D208" s="82">
        <f t="shared" si="12"/>
        <v>55647115.650000006</v>
      </c>
      <c r="E208" s="82">
        <f t="shared" si="12"/>
        <v>58429471.432500012</v>
      </c>
    </row>
    <row r="209" spans="1:5" ht="15.65" x14ac:dyDescent="0.3">
      <c r="A209" s="83" t="s">
        <v>262</v>
      </c>
      <c r="B209" s="83" t="s">
        <v>55</v>
      </c>
      <c r="C209" s="377">
        <v>2000000</v>
      </c>
      <c r="D209" s="82">
        <f t="shared" si="12"/>
        <v>2100000</v>
      </c>
      <c r="E209" s="82">
        <f t="shared" si="12"/>
        <v>2205000</v>
      </c>
    </row>
    <row r="210" spans="1:5" ht="15.65" x14ac:dyDescent="0.3">
      <c r="A210" s="89">
        <v>2211019</v>
      </c>
      <c r="B210" s="90" t="s">
        <v>251</v>
      </c>
      <c r="C210" s="377">
        <v>4000000</v>
      </c>
      <c r="D210" s="82">
        <f t="shared" si="12"/>
        <v>4200000</v>
      </c>
      <c r="E210" s="82">
        <f t="shared" si="12"/>
        <v>4410000</v>
      </c>
    </row>
    <row r="211" spans="1:5" ht="15.65" x14ac:dyDescent="0.3">
      <c r="A211" s="83" t="s">
        <v>223</v>
      </c>
      <c r="B211" s="83" t="s">
        <v>224</v>
      </c>
      <c r="C211" s="377">
        <v>5000000</v>
      </c>
      <c r="D211" s="82">
        <f>C210*1.05</f>
        <v>4200000</v>
      </c>
      <c r="E211" s="82">
        <f t="shared" si="12"/>
        <v>4410000</v>
      </c>
    </row>
    <row r="212" spans="1:5" ht="15.65" x14ac:dyDescent="0.3">
      <c r="A212" s="83" t="s">
        <v>225</v>
      </c>
      <c r="B212" s="83" t="s">
        <v>263</v>
      </c>
      <c r="C212" s="377">
        <v>8000000</v>
      </c>
      <c r="D212" s="82">
        <f>C211*1.05</f>
        <v>5250000</v>
      </c>
      <c r="E212" s="82">
        <f t="shared" si="12"/>
        <v>5512500</v>
      </c>
    </row>
    <row r="213" spans="1:5" ht="15.65" x14ac:dyDescent="0.3">
      <c r="A213" s="80" t="s">
        <v>227</v>
      </c>
      <c r="B213" s="80" t="s">
        <v>56</v>
      </c>
      <c r="C213" s="376">
        <f>C214+C215+C216</f>
        <v>7585600</v>
      </c>
      <c r="D213" s="82"/>
      <c r="E213" s="82"/>
    </row>
    <row r="214" spans="1:5" ht="31.25" x14ac:dyDescent="0.3">
      <c r="A214" s="83" t="s">
        <v>138</v>
      </c>
      <c r="B214" s="83" t="s">
        <v>228</v>
      </c>
      <c r="C214" s="377">
        <v>3500000</v>
      </c>
      <c r="D214" s="82">
        <f t="shared" si="12"/>
        <v>3675000</v>
      </c>
      <c r="E214" s="82">
        <f t="shared" si="12"/>
        <v>3858750</v>
      </c>
    </row>
    <row r="215" spans="1:5" ht="15.65" x14ac:dyDescent="0.3">
      <c r="A215" s="83" t="s">
        <v>229</v>
      </c>
      <c r="B215" s="83" t="s">
        <v>58</v>
      </c>
      <c r="C215" s="377">
        <v>500000</v>
      </c>
      <c r="D215" s="82">
        <f t="shared" si="12"/>
        <v>525000</v>
      </c>
      <c r="E215" s="82">
        <f t="shared" si="12"/>
        <v>551250</v>
      </c>
    </row>
    <row r="216" spans="1:5" ht="15.65" x14ac:dyDescent="0.3">
      <c r="A216" s="83" t="s">
        <v>140</v>
      </c>
      <c r="B216" s="83" t="s">
        <v>230</v>
      </c>
      <c r="C216" s="377">
        <v>3585600</v>
      </c>
      <c r="D216" s="82">
        <f t="shared" si="12"/>
        <v>3764880</v>
      </c>
      <c r="E216" s="82">
        <f t="shared" si="12"/>
        <v>3953124</v>
      </c>
    </row>
    <row r="217" spans="1:5" ht="15.65" x14ac:dyDescent="0.3">
      <c r="A217" s="80" t="s">
        <v>231</v>
      </c>
      <c r="B217" s="80" t="s">
        <v>60</v>
      </c>
      <c r="C217" s="376">
        <f>C218+C219</f>
        <v>11000000</v>
      </c>
      <c r="D217" s="82">
        <f t="shared" si="12"/>
        <v>11550000</v>
      </c>
      <c r="E217" s="82">
        <f t="shared" si="12"/>
        <v>12127500</v>
      </c>
    </row>
    <row r="218" spans="1:5" ht="15.65" x14ac:dyDescent="0.3">
      <c r="A218" s="83" t="s">
        <v>142</v>
      </c>
      <c r="B218" s="83" t="s">
        <v>143</v>
      </c>
      <c r="C218" s="377">
        <v>7000000</v>
      </c>
      <c r="D218" s="82">
        <f t="shared" si="12"/>
        <v>7350000</v>
      </c>
      <c r="E218" s="82">
        <f t="shared" si="12"/>
        <v>7717500</v>
      </c>
    </row>
    <row r="219" spans="1:5" x14ac:dyDescent="0.35">
      <c r="A219" s="83" t="s">
        <v>232</v>
      </c>
      <c r="B219" s="83" t="s">
        <v>264</v>
      </c>
      <c r="C219" s="377">
        <v>4000000</v>
      </c>
      <c r="D219" s="82">
        <f t="shared" si="12"/>
        <v>4200000</v>
      </c>
      <c r="E219" s="82">
        <f t="shared" si="12"/>
        <v>4410000</v>
      </c>
    </row>
    <row r="220" spans="1:5" ht="15.65" x14ac:dyDescent="0.3">
      <c r="A220" s="80" t="s">
        <v>234</v>
      </c>
      <c r="B220" s="80" t="s">
        <v>62</v>
      </c>
      <c r="C220" s="376">
        <f>C221+C222+C223+C224+C225</f>
        <v>10648400</v>
      </c>
      <c r="D220" s="82">
        <f t="shared" si="12"/>
        <v>11180820</v>
      </c>
      <c r="E220" s="82">
        <f t="shared" si="12"/>
        <v>11739861</v>
      </c>
    </row>
    <row r="221" spans="1:5" ht="15.65" x14ac:dyDescent="0.3">
      <c r="A221" s="83" t="s">
        <v>265</v>
      </c>
      <c r="B221" s="83" t="s">
        <v>266</v>
      </c>
      <c r="C221" s="377">
        <v>50000</v>
      </c>
      <c r="D221" s="82">
        <f t="shared" si="12"/>
        <v>52500</v>
      </c>
      <c r="E221" s="82">
        <f t="shared" si="12"/>
        <v>55125</v>
      </c>
    </row>
    <row r="222" spans="1:5" ht="15.65" x14ac:dyDescent="0.3">
      <c r="A222" s="83" t="s">
        <v>235</v>
      </c>
      <c r="B222" s="83" t="s">
        <v>267</v>
      </c>
      <c r="C222" s="377">
        <v>3500000</v>
      </c>
      <c r="D222" s="82">
        <f t="shared" si="12"/>
        <v>3675000</v>
      </c>
      <c r="E222" s="82">
        <f t="shared" si="12"/>
        <v>3858750</v>
      </c>
    </row>
    <row r="223" spans="1:5" ht="15.65" x14ac:dyDescent="0.3">
      <c r="A223" s="83" t="s">
        <v>144</v>
      </c>
      <c r="B223" s="83" t="s">
        <v>64</v>
      </c>
      <c r="C223" s="377">
        <v>6098400</v>
      </c>
      <c r="D223" s="82">
        <f t="shared" si="12"/>
        <v>6403320</v>
      </c>
      <c r="E223" s="82">
        <f t="shared" si="12"/>
        <v>6723486</v>
      </c>
    </row>
    <row r="224" spans="1:5" ht="31.25" x14ac:dyDescent="0.3">
      <c r="A224" s="83" t="s">
        <v>145</v>
      </c>
      <c r="B224" s="83" t="s">
        <v>65</v>
      </c>
      <c r="C224" s="377">
        <v>1000000</v>
      </c>
      <c r="D224" s="82">
        <f t="shared" si="12"/>
        <v>1050000</v>
      </c>
      <c r="E224" s="82">
        <f t="shared" si="12"/>
        <v>1102500</v>
      </c>
    </row>
    <row r="225" spans="1:5" ht="15.65" x14ac:dyDescent="0.3">
      <c r="A225" s="83" t="s">
        <v>286</v>
      </c>
      <c r="B225" s="83" t="s">
        <v>69</v>
      </c>
      <c r="C225" s="377">
        <v>0</v>
      </c>
      <c r="D225" s="82">
        <f t="shared" si="12"/>
        <v>0</v>
      </c>
      <c r="E225" s="82">
        <f t="shared" si="12"/>
        <v>0</v>
      </c>
    </row>
    <row r="226" spans="1:5" ht="31.25" x14ac:dyDescent="0.3">
      <c r="A226" s="80" t="s">
        <v>237</v>
      </c>
      <c r="B226" s="80" t="s">
        <v>71</v>
      </c>
      <c r="C226" s="376">
        <f>C227</f>
        <v>3000000</v>
      </c>
      <c r="D226" s="82">
        <f t="shared" si="12"/>
        <v>3150000</v>
      </c>
      <c r="E226" s="82">
        <f t="shared" si="12"/>
        <v>3307500</v>
      </c>
    </row>
    <row r="227" spans="1:5" ht="15.65" x14ac:dyDescent="0.3">
      <c r="A227" s="83" t="s">
        <v>148</v>
      </c>
      <c r="B227" s="83" t="s">
        <v>72</v>
      </c>
      <c r="C227" s="377">
        <v>3000000</v>
      </c>
      <c r="D227" s="82">
        <f t="shared" si="12"/>
        <v>3150000</v>
      </c>
      <c r="E227" s="82">
        <f t="shared" si="12"/>
        <v>3307500</v>
      </c>
    </row>
    <row r="228" spans="1:5" ht="15.65" x14ac:dyDescent="0.3">
      <c r="A228" s="80" t="s">
        <v>238</v>
      </c>
      <c r="B228" s="80" t="s">
        <v>73</v>
      </c>
      <c r="C228" s="376">
        <f>C229+C230+C231+C232+C233</f>
        <v>21713265</v>
      </c>
      <c r="D228" s="82">
        <f t="shared" si="12"/>
        <v>22798928.25</v>
      </c>
      <c r="E228" s="82">
        <f t="shared" si="12"/>
        <v>23938874.662500001</v>
      </c>
    </row>
    <row r="229" spans="1:5" ht="31.25" x14ac:dyDescent="0.3">
      <c r="A229" s="83" t="s">
        <v>269</v>
      </c>
      <c r="B229" s="83" t="s">
        <v>74</v>
      </c>
      <c r="C229" s="377">
        <v>3000000</v>
      </c>
      <c r="D229" s="82">
        <f t="shared" si="12"/>
        <v>3150000</v>
      </c>
      <c r="E229" s="82">
        <f t="shared" si="12"/>
        <v>3307500</v>
      </c>
    </row>
    <row r="230" spans="1:5" ht="15.65" x14ac:dyDescent="0.3">
      <c r="A230" s="83" t="s">
        <v>270</v>
      </c>
      <c r="B230" s="83" t="s">
        <v>75</v>
      </c>
      <c r="C230" s="377">
        <v>1000000</v>
      </c>
      <c r="D230" s="82">
        <f t="shared" si="12"/>
        <v>1050000</v>
      </c>
      <c r="E230" s="82">
        <f t="shared" si="12"/>
        <v>1102500</v>
      </c>
    </row>
    <row r="231" spans="1:5" ht="15.65" x14ac:dyDescent="0.3">
      <c r="A231" s="83" t="s">
        <v>239</v>
      </c>
      <c r="B231" s="83" t="s">
        <v>240</v>
      </c>
      <c r="C231" s="377">
        <v>4000000</v>
      </c>
      <c r="D231" s="82">
        <f t="shared" si="12"/>
        <v>4200000</v>
      </c>
      <c r="E231" s="82">
        <f t="shared" si="12"/>
        <v>4410000</v>
      </c>
    </row>
    <row r="232" spans="1:5" ht="15.65" x14ac:dyDescent="0.3">
      <c r="A232" s="83" t="s">
        <v>241</v>
      </c>
      <c r="B232" s="83" t="s">
        <v>76</v>
      </c>
      <c r="C232" s="377">
        <f>12000000+1213265</f>
        <v>13213265</v>
      </c>
      <c r="D232" s="82">
        <f t="shared" si="12"/>
        <v>13873928.25</v>
      </c>
      <c r="E232" s="82">
        <f t="shared" si="12"/>
        <v>14567624.662500001</v>
      </c>
    </row>
    <row r="233" spans="1:5" ht="15.65" x14ac:dyDescent="0.3">
      <c r="A233" s="83" t="s">
        <v>242</v>
      </c>
      <c r="B233" s="83" t="s">
        <v>77</v>
      </c>
      <c r="C233" s="377">
        <v>500000</v>
      </c>
      <c r="D233" s="82">
        <f t="shared" si="12"/>
        <v>525000</v>
      </c>
      <c r="E233" s="82">
        <f t="shared" si="12"/>
        <v>551250</v>
      </c>
    </row>
    <row r="234" spans="1:5" ht="15.65" x14ac:dyDescent="0.3">
      <c r="A234" s="83"/>
      <c r="B234" s="83"/>
      <c r="C234" s="12"/>
      <c r="D234" s="82"/>
      <c r="E234" s="82"/>
    </row>
    <row r="235" spans="1:5" ht="15.65" x14ac:dyDescent="0.3">
      <c r="A235" s="80">
        <v>3110900</v>
      </c>
      <c r="B235" s="80" t="s">
        <v>271</v>
      </c>
      <c r="C235" s="376">
        <f>C236</f>
        <v>3000000</v>
      </c>
      <c r="D235" s="82">
        <f>C236*1.05</f>
        <v>3150000</v>
      </c>
      <c r="E235" s="82">
        <f t="shared" si="12"/>
        <v>3307500</v>
      </c>
    </row>
    <row r="236" spans="1:5" ht="15.65" x14ac:dyDescent="0.3">
      <c r="A236" s="83" t="s">
        <v>272</v>
      </c>
      <c r="B236" s="83" t="s">
        <v>273</v>
      </c>
      <c r="C236" s="377">
        <v>3000000</v>
      </c>
      <c r="D236" s="82">
        <f>C237*1.05</f>
        <v>9450000</v>
      </c>
      <c r="E236" s="82">
        <f t="shared" si="12"/>
        <v>9922500</v>
      </c>
    </row>
    <row r="237" spans="1:5" ht="15.65" x14ac:dyDescent="0.3">
      <c r="A237" s="80" t="s">
        <v>274</v>
      </c>
      <c r="B237" s="80" t="s">
        <v>82</v>
      </c>
      <c r="C237" s="376">
        <f>C238+C239+C240+C241</f>
        <v>9000000</v>
      </c>
      <c r="D237" s="82">
        <f>C238*1.05</f>
        <v>1575000</v>
      </c>
      <c r="E237" s="82">
        <f t="shared" si="12"/>
        <v>1653750</v>
      </c>
    </row>
    <row r="238" spans="1:5" ht="15.65" x14ac:dyDescent="0.3">
      <c r="A238" s="83" t="s">
        <v>153</v>
      </c>
      <c r="B238" s="83" t="s">
        <v>83</v>
      </c>
      <c r="C238" s="377">
        <v>1500000</v>
      </c>
      <c r="D238" s="82">
        <f>C239*1.05</f>
        <v>3675000</v>
      </c>
      <c r="E238" s="82">
        <f t="shared" ref="D238:E253" si="13">D238*1.05</f>
        <v>3858750</v>
      </c>
    </row>
    <row r="239" spans="1:5" ht="15.65" x14ac:dyDescent="0.3">
      <c r="A239" s="83" t="s">
        <v>275</v>
      </c>
      <c r="B239" s="83" t="s">
        <v>84</v>
      </c>
      <c r="C239" s="378">
        <v>3500000</v>
      </c>
      <c r="D239" s="93">
        <f>C239*1.05</f>
        <v>3675000</v>
      </c>
      <c r="E239" s="93">
        <f t="shared" si="13"/>
        <v>3858750</v>
      </c>
    </row>
    <row r="240" spans="1:5" ht="15.65" x14ac:dyDescent="0.3">
      <c r="A240" s="83" t="s">
        <v>276</v>
      </c>
      <c r="B240" s="12" t="s">
        <v>750</v>
      </c>
      <c r="C240" s="377">
        <v>0</v>
      </c>
      <c r="D240" s="82">
        <v>0</v>
      </c>
      <c r="E240" s="82">
        <f t="shared" si="13"/>
        <v>0</v>
      </c>
    </row>
    <row r="241" spans="1:6" ht="15.65" x14ac:dyDescent="0.3">
      <c r="A241" s="12">
        <v>3110701</v>
      </c>
      <c r="B241" s="83" t="s">
        <v>277</v>
      </c>
      <c r="C241" s="378">
        <v>4000000</v>
      </c>
      <c r="D241" s="93">
        <f t="shared" si="13"/>
        <v>4200000</v>
      </c>
      <c r="E241" s="93">
        <f t="shared" si="13"/>
        <v>4410000</v>
      </c>
    </row>
    <row r="242" spans="1:6" ht="15.65" x14ac:dyDescent="0.3">
      <c r="A242" s="80" t="s">
        <v>278</v>
      </c>
      <c r="B242" s="80" t="s">
        <v>279</v>
      </c>
      <c r="C242" s="376">
        <f>C243+C244</f>
        <v>11213265</v>
      </c>
      <c r="D242" s="82">
        <f t="shared" si="13"/>
        <v>11773928.25</v>
      </c>
      <c r="E242" s="82">
        <f t="shared" si="13"/>
        <v>12362624.6625</v>
      </c>
    </row>
    <row r="243" spans="1:6" ht="15.65" x14ac:dyDescent="0.3">
      <c r="A243" s="83" t="s">
        <v>280</v>
      </c>
      <c r="B243" s="83" t="s">
        <v>281</v>
      </c>
      <c r="C243" s="377">
        <v>0</v>
      </c>
      <c r="D243" s="82">
        <f t="shared" si="13"/>
        <v>0</v>
      </c>
      <c r="E243" s="82">
        <f t="shared" si="13"/>
        <v>0</v>
      </c>
    </row>
    <row r="244" spans="1:6" ht="31.25" x14ac:dyDescent="0.3">
      <c r="A244" s="83" t="s">
        <v>282</v>
      </c>
      <c r="B244" s="83" t="s">
        <v>283</v>
      </c>
      <c r="C244" s="377">
        <f>10000000+1213265</f>
        <v>11213265</v>
      </c>
      <c r="D244" s="82">
        <f t="shared" si="13"/>
        <v>11773928.25</v>
      </c>
      <c r="E244" s="82">
        <f t="shared" si="13"/>
        <v>12362624.6625</v>
      </c>
    </row>
    <row r="245" spans="1:6" ht="15.65" x14ac:dyDescent="0.3">
      <c r="A245" s="83">
        <v>3111403</v>
      </c>
      <c r="B245" s="83" t="s">
        <v>284</v>
      </c>
      <c r="C245" s="82"/>
      <c r="D245" s="82">
        <f t="shared" si="13"/>
        <v>0</v>
      </c>
      <c r="E245" s="82">
        <f t="shared" si="13"/>
        <v>0</v>
      </c>
    </row>
    <row r="246" spans="1:6" ht="31.25" x14ac:dyDescent="0.3">
      <c r="A246" s="83"/>
      <c r="B246" s="80" t="s">
        <v>891</v>
      </c>
      <c r="C246" s="78">
        <f>C172+C175+C179+C183+C187+C194+C197+C202+C213+C217+C220+C226+C228+C235+C237+C242</f>
        <v>375328308</v>
      </c>
      <c r="D246" s="82">
        <f t="shared" si="13"/>
        <v>394094723.40000004</v>
      </c>
      <c r="E246" s="82">
        <f t="shared" si="13"/>
        <v>413799459.57000005</v>
      </c>
    </row>
    <row r="247" spans="1:6" ht="15.65" x14ac:dyDescent="0.3">
      <c r="A247" s="83"/>
      <c r="B247" s="80" t="s">
        <v>892</v>
      </c>
      <c r="C247" s="78"/>
      <c r="D247" s="82">
        <f t="shared" si="13"/>
        <v>0</v>
      </c>
      <c r="E247" s="82">
        <f t="shared" si="13"/>
        <v>0</v>
      </c>
    </row>
    <row r="248" spans="1:6" ht="15.65" x14ac:dyDescent="0.3">
      <c r="A248" s="339">
        <v>3110599</v>
      </c>
      <c r="B248" s="147" t="s">
        <v>583</v>
      </c>
      <c r="C248" s="378">
        <v>0</v>
      </c>
      <c r="D248" s="82">
        <f t="shared" si="13"/>
        <v>0</v>
      </c>
      <c r="E248" s="82">
        <f t="shared" si="13"/>
        <v>0</v>
      </c>
      <c r="F248" s="333">
        <v>135994505</v>
      </c>
    </row>
    <row r="249" spans="1:6" ht="15.65" x14ac:dyDescent="0.3">
      <c r="A249" s="76">
        <v>3110504</v>
      </c>
      <c r="B249" s="147" t="s">
        <v>583</v>
      </c>
      <c r="C249" s="376">
        <v>0</v>
      </c>
      <c r="D249" s="82">
        <f t="shared" si="13"/>
        <v>0</v>
      </c>
      <c r="E249" s="82">
        <f t="shared" si="13"/>
        <v>0</v>
      </c>
      <c r="F249" s="333">
        <f>F248/2</f>
        <v>67997252.5</v>
      </c>
    </row>
    <row r="250" spans="1:6" ht="15.65" x14ac:dyDescent="0.3">
      <c r="B250" s="379" t="s">
        <v>257</v>
      </c>
      <c r="C250" s="377">
        <v>0</v>
      </c>
      <c r="D250" s="82">
        <f t="shared" si="13"/>
        <v>0</v>
      </c>
      <c r="E250" s="82">
        <f t="shared" si="13"/>
        <v>0</v>
      </c>
    </row>
    <row r="251" spans="1:6" ht="15.65" x14ac:dyDescent="0.3">
      <c r="A251" s="347" t="s">
        <v>272</v>
      </c>
      <c r="B251" s="357" t="s">
        <v>781</v>
      </c>
      <c r="C251" s="377">
        <v>0</v>
      </c>
      <c r="D251" s="82">
        <f t="shared" si="13"/>
        <v>0</v>
      </c>
      <c r="E251" s="82">
        <f t="shared" si="13"/>
        <v>0</v>
      </c>
    </row>
    <row r="252" spans="1:6" ht="31.25" x14ac:dyDescent="0.3">
      <c r="A252" s="350"/>
      <c r="B252" s="380" t="s">
        <v>893</v>
      </c>
      <c r="C252" s="82">
        <f>C248+C249+C250+C251</f>
        <v>0</v>
      </c>
      <c r="D252" s="82">
        <f t="shared" si="13"/>
        <v>0</v>
      </c>
      <c r="E252" s="82">
        <f t="shared" si="13"/>
        <v>0</v>
      </c>
    </row>
    <row r="253" spans="1:6" ht="46.75" x14ac:dyDescent="0.3">
      <c r="A253" s="350"/>
      <c r="B253" s="380" t="s">
        <v>894</v>
      </c>
      <c r="C253" s="365">
        <f>C246+C252</f>
        <v>375328308</v>
      </c>
      <c r="D253" s="366">
        <f t="shared" si="13"/>
        <v>394094723.40000004</v>
      </c>
      <c r="E253" s="366">
        <f t="shared" si="13"/>
        <v>413799459.57000005</v>
      </c>
    </row>
    <row r="254" spans="1:6" ht="15.65" x14ac:dyDescent="0.3">
      <c r="A254" s="350"/>
      <c r="B254" s="381"/>
      <c r="C254" s="78"/>
      <c r="D254" s="82"/>
      <c r="E254" s="82"/>
    </row>
    <row r="255" spans="1:6" ht="31.25" x14ac:dyDescent="0.3">
      <c r="A255" s="148"/>
      <c r="B255" s="78" t="s">
        <v>258</v>
      </c>
      <c r="C255" s="79" t="s">
        <v>184</v>
      </c>
      <c r="D255" s="79" t="s">
        <v>746</v>
      </c>
      <c r="E255" s="79" t="s">
        <v>791</v>
      </c>
    </row>
    <row r="256" spans="1:6" ht="15.65" x14ac:dyDescent="0.3">
      <c r="A256" s="78"/>
      <c r="B256" s="78" t="s">
        <v>890</v>
      </c>
      <c r="C256" s="79"/>
      <c r="D256" s="382"/>
      <c r="E256" s="382"/>
    </row>
    <row r="257" spans="1:5" ht="15.65" x14ac:dyDescent="0.3">
      <c r="A257" s="80" t="s">
        <v>185</v>
      </c>
      <c r="B257" s="80" t="s">
        <v>186</v>
      </c>
      <c r="C257" s="81">
        <f>C258</f>
        <v>0</v>
      </c>
      <c r="D257" s="82"/>
      <c r="E257" s="82"/>
    </row>
    <row r="258" spans="1:5" ht="15.65" x14ac:dyDescent="0.3">
      <c r="A258" s="83" t="s">
        <v>98</v>
      </c>
      <c r="B258" s="83" t="s">
        <v>99</v>
      </c>
      <c r="C258" s="81">
        <v>0</v>
      </c>
      <c r="D258" s="82"/>
      <c r="E258" s="82"/>
    </row>
    <row r="259" spans="1:5" ht="15.65" x14ac:dyDescent="0.3">
      <c r="A259" s="80" t="s">
        <v>3</v>
      </c>
      <c r="B259" s="80" t="s">
        <v>4</v>
      </c>
      <c r="C259" s="78">
        <f>C260</f>
        <v>0</v>
      </c>
      <c r="D259" s="82"/>
      <c r="E259" s="82"/>
    </row>
    <row r="260" spans="1:5" ht="15.65" x14ac:dyDescent="0.3">
      <c r="A260" s="83" t="s">
        <v>5</v>
      </c>
      <c r="B260" s="83" t="s">
        <v>6</v>
      </c>
      <c r="C260" s="81">
        <v>0</v>
      </c>
      <c r="D260" s="82"/>
      <c r="E260" s="82"/>
    </row>
    <row r="261" spans="1:5" ht="15.65" x14ac:dyDescent="0.3">
      <c r="A261" s="80" t="s">
        <v>289</v>
      </c>
      <c r="B261" s="80" t="s">
        <v>290</v>
      </c>
      <c r="C261" s="81">
        <f>C262+C263</f>
        <v>0</v>
      </c>
      <c r="D261" s="82"/>
      <c r="E261" s="82"/>
    </row>
    <row r="262" spans="1:5" ht="15.65" x14ac:dyDescent="0.3">
      <c r="A262" s="83" t="s">
        <v>291</v>
      </c>
      <c r="B262" s="83" t="s">
        <v>10</v>
      </c>
      <c r="C262" s="81">
        <v>0</v>
      </c>
      <c r="D262" s="82"/>
      <c r="E262" s="82"/>
    </row>
    <row r="263" spans="1:5" ht="15.65" x14ac:dyDescent="0.3">
      <c r="A263" s="83" t="s">
        <v>292</v>
      </c>
      <c r="B263" s="83" t="s">
        <v>293</v>
      </c>
      <c r="C263" s="81">
        <v>0</v>
      </c>
      <c r="D263" s="82"/>
      <c r="E263" s="82"/>
    </row>
    <row r="264" spans="1:5" ht="15.65" x14ac:dyDescent="0.3">
      <c r="A264" s="80" t="s">
        <v>294</v>
      </c>
      <c r="B264" s="80" t="s">
        <v>295</v>
      </c>
      <c r="C264" s="81">
        <v>0</v>
      </c>
      <c r="D264" s="82"/>
      <c r="E264" s="82"/>
    </row>
    <row r="265" spans="1:5" ht="15.65" x14ac:dyDescent="0.3">
      <c r="A265" s="80">
        <v>2410104</v>
      </c>
      <c r="B265" s="84" t="s">
        <v>268</v>
      </c>
      <c r="C265" s="78">
        <v>0</v>
      </c>
      <c r="D265" s="82"/>
      <c r="E265" s="82"/>
    </row>
    <row r="266" spans="1:5" ht="15.65" x14ac:dyDescent="0.3">
      <c r="A266" s="80" t="s">
        <v>192</v>
      </c>
      <c r="B266" s="80" t="s">
        <v>23</v>
      </c>
      <c r="C266" s="376">
        <f>C267+C268</f>
        <v>16000000</v>
      </c>
      <c r="D266" s="86">
        <f>C266*1.05</f>
        <v>16800000</v>
      </c>
      <c r="E266" s="86">
        <f>D266*1.05</f>
        <v>17640000</v>
      </c>
    </row>
    <row r="267" spans="1:5" ht="15.65" x14ac:dyDescent="0.3">
      <c r="A267" s="83" t="s">
        <v>101</v>
      </c>
      <c r="B267" s="83" t="s">
        <v>102</v>
      </c>
      <c r="C267" s="383">
        <v>11800000</v>
      </c>
      <c r="D267" s="82">
        <f t="shared" ref="D267:E332" si="14">C267*1.05</f>
        <v>12390000</v>
      </c>
      <c r="E267" s="82">
        <f t="shared" si="14"/>
        <v>13009500</v>
      </c>
    </row>
    <row r="268" spans="1:5" ht="15.65" x14ac:dyDescent="0.3">
      <c r="A268" s="83" t="s">
        <v>103</v>
      </c>
      <c r="B268" s="83" t="s">
        <v>104</v>
      </c>
      <c r="C268" s="383">
        <v>4200000</v>
      </c>
      <c r="D268" s="82">
        <f t="shared" si="14"/>
        <v>4410000</v>
      </c>
      <c r="E268" s="82">
        <f t="shared" si="14"/>
        <v>4630500</v>
      </c>
    </row>
    <row r="269" spans="1:5" ht="15.65" x14ac:dyDescent="0.3">
      <c r="A269" s="80" t="s">
        <v>193</v>
      </c>
      <c r="B269" s="80" t="s">
        <v>194</v>
      </c>
      <c r="C269" s="376">
        <f>C270+C271+C272</f>
        <v>2996550</v>
      </c>
      <c r="D269" s="86">
        <f t="shared" si="14"/>
        <v>3146377.5</v>
      </c>
      <c r="E269" s="86">
        <f t="shared" si="14"/>
        <v>3303696.375</v>
      </c>
    </row>
    <row r="270" spans="1:5" ht="15.65" x14ac:dyDescent="0.3">
      <c r="A270" s="83">
        <v>2210201</v>
      </c>
      <c r="B270" s="83" t="s">
        <v>106</v>
      </c>
      <c r="C270" s="383">
        <v>980000</v>
      </c>
      <c r="D270" s="82">
        <f t="shared" si="14"/>
        <v>1029000</v>
      </c>
      <c r="E270" s="82">
        <f t="shared" si="14"/>
        <v>1080450</v>
      </c>
    </row>
    <row r="271" spans="1:5" ht="15.65" x14ac:dyDescent="0.3">
      <c r="A271" s="83" t="s">
        <v>107</v>
      </c>
      <c r="B271" s="83" t="s">
        <v>108</v>
      </c>
      <c r="C271" s="383">
        <v>1800000</v>
      </c>
      <c r="D271" s="82">
        <f t="shared" si="14"/>
        <v>1890000</v>
      </c>
      <c r="E271" s="82">
        <f t="shared" si="14"/>
        <v>1984500</v>
      </c>
    </row>
    <row r="272" spans="1:5" ht="15.65" x14ac:dyDescent="0.3">
      <c r="A272" s="83" t="s">
        <v>109</v>
      </c>
      <c r="B272" s="83" t="s">
        <v>29</v>
      </c>
      <c r="C272" s="383">
        <v>216550</v>
      </c>
      <c r="D272" s="82">
        <f t="shared" si="14"/>
        <v>227377.5</v>
      </c>
      <c r="E272" s="82">
        <f t="shared" si="14"/>
        <v>238746.375</v>
      </c>
    </row>
    <row r="273" spans="1:5" ht="31.25" x14ac:dyDescent="0.3">
      <c r="A273" s="80" t="s">
        <v>195</v>
      </c>
      <c r="B273" s="80" t="s">
        <v>30</v>
      </c>
      <c r="C273" s="384">
        <f>C274+C275+C276</f>
        <v>10000000</v>
      </c>
      <c r="D273" s="366">
        <f t="shared" si="14"/>
        <v>10500000</v>
      </c>
      <c r="E273" s="366">
        <f t="shared" si="14"/>
        <v>11025000</v>
      </c>
    </row>
    <row r="274" spans="1:5" ht="31.25" x14ac:dyDescent="0.3">
      <c r="A274" s="83" t="s">
        <v>110</v>
      </c>
      <c r="B274" s="83" t="s">
        <v>111</v>
      </c>
      <c r="C274" s="12">
        <v>0</v>
      </c>
      <c r="D274" s="366">
        <f t="shared" si="14"/>
        <v>0</v>
      </c>
      <c r="E274" s="82">
        <f t="shared" si="14"/>
        <v>0</v>
      </c>
    </row>
    <row r="275" spans="1:5" ht="15.65" x14ac:dyDescent="0.3">
      <c r="A275" s="83" t="s">
        <v>112</v>
      </c>
      <c r="B275" s="83" t="s">
        <v>113</v>
      </c>
      <c r="C275" s="383">
        <v>6000000</v>
      </c>
      <c r="D275" s="93">
        <f t="shared" si="14"/>
        <v>6300000</v>
      </c>
      <c r="E275" s="82">
        <f t="shared" si="14"/>
        <v>6615000</v>
      </c>
    </row>
    <row r="276" spans="1:5" ht="15.65" x14ac:dyDescent="0.3">
      <c r="A276" s="83" t="s">
        <v>114</v>
      </c>
      <c r="B276" s="83" t="s">
        <v>115</v>
      </c>
      <c r="C276" s="383">
        <v>4000000</v>
      </c>
      <c r="D276" s="93">
        <f t="shared" si="14"/>
        <v>4200000</v>
      </c>
      <c r="E276" s="82">
        <f t="shared" si="14"/>
        <v>4410000</v>
      </c>
    </row>
    <row r="277" spans="1:5" ht="31.25" x14ac:dyDescent="0.3">
      <c r="A277" s="80" t="s">
        <v>117</v>
      </c>
      <c r="B277" s="80" t="s">
        <v>118</v>
      </c>
      <c r="C277" s="376">
        <v>0</v>
      </c>
      <c r="D277" s="82">
        <f t="shared" si="14"/>
        <v>0</v>
      </c>
      <c r="E277" s="82">
        <f t="shared" si="14"/>
        <v>0</v>
      </c>
    </row>
    <row r="278" spans="1:5" ht="15.65" x14ac:dyDescent="0.3">
      <c r="A278" s="83" t="s">
        <v>119</v>
      </c>
      <c r="B278" s="83" t="s">
        <v>120</v>
      </c>
      <c r="C278" s="377">
        <v>0</v>
      </c>
      <c r="D278" s="82">
        <f t="shared" si="14"/>
        <v>0</v>
      </c>
      <c r="E278" s="82">
        <f t="shared" si="14"/>
        <v>0</v>
      </c>
    </row>
    <row r="279" spans="1:5" ht="15.65" x14ac:dyDescent="0.3">
      <c r="A279" s="83" t="s">
        <v>197</v>
      </c>
      <c r="B279" s="83" t="s">
        <v>198</v>
      </c>
      <c r="C279" s="377">
        <v>0</v>
      </c>
      <c r="D279" s="82">
        <f t="shared" si="14"/>
        <v>0</v>
      </c>
      <c r="E279" s="82">
        <f t="shared" si="14"/>
        <v>0</v>
      </c>
    </row>
    <row r="280" spans="1:5" ht="15.65" x14ac:dyDescent="0.3">
      <c r="A280" s="83" t="s">
        <v>121</v>
      </c>
      <c r="B280" s="83" t="s">
        <v>115</v>
      </c>
      <c r="C280" s="377">
        <v>0</v>
      </c>
      <c r="D280" s="82">
        <f t="shared" si="14"/>
        <v>0</v>
      </c>
      <c r="E280" s="82">
        <f t="shared" si="14"/>
        <v>0</v>
      </c>
    </row>
    <row r="281" spans="1:5" ht="31.25" x14ac:dyDescent="0.3">
      <c r="A281" s="80" t="s">
        <v>199</v>
      </c>
      <c r="B281" s="80" t="s">
        <v>38</v>
      </c>
      <c r="C281" s="385">
        <f>C282+C283+C284</f>
        <v>3100000</v>
      </c>
      <c r="D281" s="86">
        <f t="shared" si="14"/>
        <v>3255000</v>
      </c>
      <c r="E281" s="86">
        <f t="shared" si="14"/>
        <v>3417750</v>
      </c>
    </row>
    <row r="282" spans="1:5" ht="15.65" x14ac:dyDescent="0.3">
      <c r="A282" s="83" t="s">
        <v>200</v>
      </c>
      <c r="B282" s="83" t="s">
        <v>201</v>
      </c>
      <c r="C282" s="383">
        <v>1500000</v>
      </c>
      <c r="D282" s="82">
        <f t="shared" si="14"/>
        <v>1575000</v>
      </c>
      <c r="E282" s="82">
        <f t="shared" si="14"/>
        <v>1653750</v>
      </c>
    </row>
    <row r="283" spans="1:5" ht="15.65" x14ac:dyDescent="0.3">
      <c r="A283" s="83" t="s">
        <v>122</v>
      </c>
      <c r="B283" s="83" t="s">
        <v>123</v>
      </c>
      <c r="C283" s="383">
        <v>100000</v>
      </c>
      <c r="D283" s="82">
        <f t="shared" si="14"/>
        <v>105000</v>
      </c>
      <c r="E283" s="82">
        <f t="shared" si="14"/>
        <v>110250</v>
      </c>
    </row>
    <row r="284" spans="1:5" ht="15.65" x14ac:dyDescent="0.3">
      <c r="A284" s="83" t="s">
        <v>124</v>
      </c>
      <c r="B284" s="83" t="s">
        <v>125</v>
      </c>
      <c r="C284" s="383">
        <v>1500000</v>
      </c>
      <c r="D284" s="82">
        <f t="shared" si="14"/>
        <v>1575000</v>
      </c>
      <c r="E284" s="82">
        <f t="shared" si="14"/>
        <v>1653750</v>
      </c>
    </row>
    <row r="285" spans="1:5" ht="15.65" x14ac:dyDescent="0.3">
      <c r="A285" s="83" t="s">
        <v>202</v>
      </c>
      <c r="B285" s="83" t="s">
        <v>41</v>
      </c>
      <c r="C285" s="82"/>
      <c r="D285" s="82">
        <f t="shared" si="14"/>
        <v>0</v>
      </c>
      <c r="E285" s="82">
        <f t="shared" si="14"/>
        <v>0</v>
      </c>
    </row>
    <row r="286" spans="1:5" ht="15.65" x14ac:dyDescent="0.3">
      <c r="A286" s="80" t="s">
        <v>259</v>
      </c>
      <c r="B286" s="80" t="s">
        <v>42</v>
      </c>
      <c r="C286" s="377">
        <f>C287</f>
        <v>0</v>
      </c>
      <c r="D286" s="82">
        <f t="shared" si="14"/>
        <v>0</v>
      </c>
      <c r="E286" s="82">
        <f t="shared" si="14"/>
        <v>0</v>
      </c>
    </row>
    <row r="287" spans="1:5" ht="15.65" x14ac:dyDescent="0.3">
      <c r="A287" s="83" t="s">
        <v>260</v>
      </c>
      <c r="B287" s="83" t="s">
        <v>43</v>
      </c>
      <c r="C287" s="377">
        <v>0</v>
      </c>
      <c r="D287" s="82">
        <f t="shared" si="14"/>
        <v>0</v>
      </c>
      <c r="E287" s="82">
        <f t="shared" si="14"/>
        <v>0</v>
      </c>
    </row>
    <row r="288" spans="1:5" ht="15.65" x14ac:dyDescent="0.3">
      <c r="A288" s="80" t="s">
        <v>203</v>
      </c>
      <c r="B288" s="80" t="s">
        <v>45</v>
      </c>
      <c r="C288" s="376">
        <f>C289+C290</f>
        <v>0</v>
      </c>
      <c r="D288" s="86">
        <f t="shared" si="14"/>
        <v>0</v>
      </c>
      <c r="E288" s="86">
        <f t="shared" si="14"/>
        <v>0</v>
      </c>
    </row>
    <row r="289" spans="1:5" ht="15.65" x14ac:dyDescent="0.3">
      <c r="A289" s="83" t="s">
        <v>127</v>
      </c>
      <c r="B289" s="83" t="s">
        <v>128</v>
      </c>
      <c r="C289" s="377">
        <v>0</v>
      </c>
      <c r="D289" s="82">
        <f t="shared" si="14"/>
        <v>0</v>
      </c>
      <c r="E289" s="82">
        <f t="shared" si="14"/>
        <v>0</v>
      </c>
    </row>
    <row r="290" spans="1:5" ht="15.65" x14ac:dyDescent="0.3">
      <c r="A290" s="83" t="s">
        <v>129</v>
      </c>
      <c r="B290" s="83" t="s">
        <v>130</v>
      </c>
      <c r="C290" s="377">
        <v>0</v>
      </c>
      <c r="D290" s="82">
        <f t="shared" si="14"/>
        <v>0</v>
      </c>
      <c r="E290" s="82">
        <f t="shared" si="14"/>
        <v>0</v>
      </c>
    </row>
    <row r="291" spans="1:5" ht="15.65" x14ac:dyDescent="0.3">
      <c r="A291" s="80" t="s">
        <v>205</v>
      </c>
      <c r="B291" s="80" t="s">
        <v>48</v>
      </c>
      <c r="C291" s="376">
        <f>C292+C293</f>
        <v>8500000</v>
      </c>
      <c r="D291" s="86">
        <f t="shared" si="14"/>
        <v>8925000</v>
      </c>
      <c r="E291" s="86">
        <f t="shared" si="14"/>
        <v>9371250</v>
      </c>
    </row>
    <row r="292" spans="1:5" ht="31.25" x14ac:dyDescent="0.3">
      <c r="A292" s="83" t="s">
        <v>131</v>
      </c>
      <c r="B292" s="83" t="s">
        <v>206</v>
      </c>
      <c r="C292" s="383">
        <v>3000000</v>
      </c>
      <c r="D292" s="82">
        <f t="shared" si="14"/>
        <v>3150000</v>
      </c>
      <c r="E292" s="82">
        <f t="shared" si="14"/>
        <v>3307500</v>
      </c>
    </row>
    <row r="293" spans="1:5" ht="15.65" x14ac:dyDescent="0.3">
      <c r="A293" s="83" t="s">
        <v>133</v>
      </c>
      <c r="B293" s="83" t="s">
        <v>207</v>
      </c>
      <c r="C293" s="383">
        <v>5500000</v>
      </c>
      <c r="D293" s="82">
        <f t="shared" si="14"/>
        <v>5775000</v>
      </c>
      <c r="E293" s="82">
        <f t="shared" si="14"/>
        <v>6063750</v>
      </c>
    </row>
    <row r="294" spans="1:5" ht="15.65" x14ac:dyDescent="0.3">
      <c r="A294" s="80" t="s">
        <v>208</v>
      </c>
      <c r="B294" s="80" t="s">
        <v>209</v>
      </c>
      <c r="C294" s="376">
        <f>C295+C296</f>
        <v>2000000</v>
      </c>
      <c r="D294" s="82">
        <f t="shared" si="14"/>
        <v>2100000</v>
      </c>
      <c r="E294" s="82">
        <f t="shared" si="14"/>
        <v>2205000</v>
      </c>
    </row>
    <row r="295" spans="1:5" ht="15.65" x14ac:dyDescent="0.3">
      <c r="A295" s="83">
        <v>2210910</v>
      </c>
      <c r="B295" s="83" t="s">
        <v>66</v>
      </c>
      <c r="C295" s="82">
        <v>0</v>
      </c>
      <c r="D295" s="82">
        <f t="shared" si="14"/>
        <v>0</v>
      </c>
      <c r="E295" s="82"/>
    </row>
    <row r="296" spans="1:5" ht="15.65" x14ac:dyDescent="0.3">
      <c r="A296" s="83" t="s">
        <v>210</v>
      </c>
      <c r="B296" s="83" t="s">
        <v>895</v>
      </c>
      <c r="C296" s="383">
        <v>2000000</v>
      </c>
      <c r="D296" s="82">
        <f t="shared" si="14"/>
        <v>2100000</v>
      </c>
      <c r="E296" s="82">
        <f t="shared" si="14"/>
        <v>2205000</v>
      </c>
    </row>
    <row r="297" spans="1:5" ht="15.65" x14ac:dyDescent="0.3">
      <c r="A297" s="80" t="s">
        <v>211</v>
      </c>
      <c r="B297" s="80" t="s">
        <v>51</v>
      </c>
      <c r="C297" s="376">
        <f>C298+C299+C300+C301+C302+C303+C304+C305+C306+C307</f>
        <v>238997253</v>
      </c>
      <c r="D297" s="86">
        <f t="shared" si="14"/>
        <v>250947115.65000001</v>
      </c>
      <c r="E297" s="86">
        <f t="shared" si="14"/>
        <v>263494471.4325</v>
      </c>
    </row>
    <row r="298" spans="1:5" ht="15.65" x14ac:dyDescent="0.3">
      <c r="A298" s="83" t="s">
        <v>212</v>
      </c>
      <c r="B298" s="83" t="s">
        <v>213</v>
      </c>
      <c r="C298" s="383">
        <f>20000000+40000000</f>
        <v>60000000</v>
      </c>
      <c r="D298" s="82">
        <f t="shared" si="14"/>
        <v>63000000</v>
      </c>
      <c r="E298" s="82">
        <f t="shared" si="14"/>
        <v>66150000</v>
      </c>
    </row>
    <row r="299" spans="1:5" ht="15.65" x14ac:dyDescent="0.3">
      <c r="A299" s="83" t="s">
        <v>214</v>
      </c>
      <c r="B299" s="83" t="s">
        <v>215</v>
      </c>
      <c r="C299" s="383">
        <f>20000000+44000000</f>
        <v>64000000</v>
      </c>
      <c r="D299" s="82">
        <f t="shared" si="14"/>
        <v>67200000</v>
      </c>
      <c r="E299" s="82">
        <f t="shared" si="14"/>
        <v>70560000</v>
      </c>
    </row>
    <row r="300" spans="1:5" ht="15.65" x14ac:dyDescent="0.3">
      <c r="A300" s="83" t="s">
        <v>216</v>
      </c>
      <c r="B300" s="83" t="s">
        <v>217</v>
      </c>
      <c r="C300" s="383">
        <v>3000000</v>
      </c>
      <c r="D300" s="82">
        <f t="shared" si="14"/>
        <v>3150000</v>
      </c>
      <c r="E300" s="82">
        <f t="shared" si="14"/>
        <v>3307500</v>
      </c>
    </row>
    <row r="301" spans="1:5" ht="15.65" x14ac:dyDescent="0.3">
      <c r="A301" s="83" t="s">
        <v>261</v>
      </c>
      <c r="B301" s="83" t="s">
        <v>218</v>
      </c>
      <c r="C301" s="383">
        <v>3000000</v>
      </c>
      <c r="D301" s="82">
        <f t="shared" si="14"/>
        <v>3150000</v>
      </c>
      <c r="E301" s="82">
        <f t="shared" si="14"/>
        <v>3307500</v>
      </c>
    </row>
    <row r="302" spans="1:5" ht="15.65" x14ac:dyDescent="0.3">
      <c r="A302" s="83" t="s">
        <v>219</v>
      </c>
      <c r="B302" s="83" t="s">
        <v>220</v>
      </c>
      <c r="C302" s="383">
        <f>10000000+20000000</f>
        <v>30000000</v>
      </c>
      <c r="D302" s="82">
        <f t="shared" si="14"/>
        <v>31500000</v>
      </c>
      <c r="E302" s="82">
        <f t="shared" si="14"/>
        <v>33075000</v>
      </c>
    </row>
    <row r="303" spans="1:5" ht="15.65" x14ac:dyDescent="0.3">
      <c r="A303" s="83" t="s">
        <v>221</v>
      </c>
      <c r="B303" s="83" t="s">
        <v>222</v>
      </c>
      <c r="C303" s="383">
        <f>17997253+46000000</f>
        <v>63997253</v>
      </c>
      <c r="D303" s="82">
        <f t="shared" si="14"/>
        <v>67197115.650000006</v>
      </c>
      <c r="E303" s="82">
        <f t="shared" si="14"/>
        <v>70556971.432500005</v>
      </c>
    </row>
    <row r="304" spans="1:5" ht="15.65" x14ac:dyDescent="0.3">
      <c r="A304" s="83" t="s">
        <v>262</v>
      </c>
      <c r="B304" s="83" t="s">
        <v>55</v>
      </c>
      <c r="C304" s="383">
        <v>3000000</v>
      </c>
      <c r="D304" s="82">
        <f t="shared" si="14"/>
        <v>3150000</v>
      </c>
      <c r="E304" s="82">
        <f t="shared" si="14"/>
        <v>3307500</v>
      </c>
    </row>
    <row r="305" spans="1:5" ht="15.65" x14ac:dyDescent="0.3">
      <c r="A305" s="89">
        <v>2211019</v>
      </c>
      <c r="B305" s="90" t="s">
        <v>251</v>
      </c>
      <c r="C305" s="383">
        <v>1500000</v>
      </c>
      <c r="D305" s="82">
        <f t="shared" si="14"/>
        <v>1575000</v>
      </c>
      <c r="E305" s="82">
        <f t="shared" si="14"/>
        <v>1653750</v>
      </c>
    </row>
    <row r="306" spans="1:5" ht="15.65" x14ac:dyDescent="0.3">
      <c r="A306" s="83" t="s">
        <v>223</v>
      </c>
      <c r="B306" s="83" t="s">
        <v>224</v>
      </c>
      <c r="C306" s="383">
        <v>3000000</v>
      </c>
      <c r="D306" s="82">
        <f t="shared" si="14"/>
        <v>3150000</v>
      </c>
      <c r="E306" s="82">
        <f t="shared" si="14"/>
        <v>3307500</v>
      </c>
    </row>
    <row r="307" spans="1:5" ht="15.65" x14ac:dyDescent="0.3">
      <c r="A307" s="83" t="s">
        <v>225</v>
      </c>
      <c r="B307" s="83" t="s">
        <v>263</v>
      </c>
      <c r="C307" s="383">
        <v>7500000</v>
      </c>
      <c r="D307" s="82">
        <f t="shared" si="14"/>
        <v>7875000</v>
      </c>
      <c r="E307" s="82">
        <f t="shared" si="14"/>
        <v>8268750</v>
      </c>
    </row>
    <row r="308" spans="1:5" ht="15.65" x14ac:dyDescent="0.3">
      <c r="A308" s="80" t="s">
        <v>227</v>
      </c>
      <c r="B308" s="80" t="s">
        <v>56</v>
      </c>
      <c r="C308" s="376">
        <f>C309+C310+C311</f>
        <v>7200000</v>
      </c>
      <c r="D308" s="86">
        <f t="shared" si="14"/>
        <v>7560000</v>
      </c>
      <c r="E308" s="86">
        <f t="shared" si="14"/>
        <v>7938000</v>
      </c>
    </row>
    <row r="309" spans="1:5" ht="31.25" x14ac:dyDescent="0.3">
      <c r="A309" s="83" t="s">
        <v>138</v>
      </c>
      <c r="B309" s="83" t="s">
        <v>228</v>
      </c>
      <c r="C309" s="383">
        <v>2000000</v>
      </c>
      <c r="D309" s="82">
        <f t="shared" si="14"/>
        <v>2100000</v>
      </c>
      <c r="E309" s="82">
        <f t="shared" si="14"/>
        <v>2205000</v>
      </c>
    </row>
    <row r="310" spans="1:5" ht="15.65" x14ac:dyDescent="0.3">
      <c r="A310" s="83" t="s">
        <v>229</v>
      </c>
      <c r="B310" s="83" t="s">
        <v>58</v>
      </c>
      <c r="C310" s="383">
        <v>2000000</v>
      </c>
      <c r="D310" s="82">
        <f t="shared" si="14"/>
        <v>2100000</v>
      </c>
      <c r="E310" s="82">
        <f t="shared" si="14"/>
        <v>2205000</v>
      </c>
    </row>
    <row r="311" spans="1:5" ht="15.65" x14ac:dyDescent="0.3">
      <c r="A311" s="83" t="s">
        <v>140</v>
      </c>
      <c r="B311" s="83" t="s">
        <v>230</v>
      </c>
      <c r="C311" s="383">
        <v>3200000</v>
      </c>
      <c r="D311" s="82">
        <f t="shared" si="14"/>
        <v>3360000</v>
      </c>
      <c r="E311" s="82">
        <f t="shared" si="14"/>
        <v>3528000</v>
      </c>
    </row>
    <row r="312" spans="1:5" ht="15.65" x14ac:dyDescent="0.3">
      <c r="A312" s="80" t="s">
        <v>231</v>
      </c>
      <c r="B312" s="80" t="s">
        <v>60</v>
      </c>
      <c r="C312" s="376">
        <f>C313+C314</f>
        <v>9700000</v>
      </c>
      <c r="D312" s="86">
        <f t="shared" si="14"/>
        <v>10185000</v>
      </c>
      <c r="E312" s="86">
        <f t="shared" si="14"/>
        <v>10694250</v>
      </c>
    </row>
    <row r="313" spans="1:5" ht="15.65" x14ac:dyDescent="0.3">
      <c r="A313" s="83" t="s">
        <v>142</v>
      </c>
      <c r="B313" s="83" t="s">
        <v>143</v>
      </c>
      <c r="C313" s="383">
        <v>7200000</v>
      </c>
      <c r="D313" s="82">
        <f t="shared" si="14"/>
        <v>7560000</v>
      </c>
      <c r="E313" s="82">
        <f t="shared" si="14"/>
        <v>7938000</v>
      </c>
    </row>
    <row r="314" spans="1:5" x14ac:dyDescent="0.35">
      <c r="A314" s="83" t="s">
        <v>232</v>
      </c>
      <c r="B314" s="83" t="s">
        <v>264</v>
      </c>
      <c r="C314" s="383">
        <v>2500000</v>
      </c>
      <c r="D314" s="82">
        <f t="shared" si="14"/>
        <v>2625000</v>
      </c>
      <c r="E314" s="82">
        <f t="shared" si="14"/>
        <v>2756250</v>
      </c>
    </row>
    <row r="315" spans="1:5" ht="15.65" x14ac:dyDescent="0.3">
      <c r="A315" s="80" t="s">
        <v>234</v>
      </c>
      <c r="B315" s="80" t="s">
        <v>62</v>
      </c>
      <c r="C315" s="376">
        <f>C316+C317+C318+C319</f>
        <v>15320000</v>
      </c>
      <c r="D315" s="86">
        <f t="shared" si="14"/>
        <v>16086000</v>
      </c>
      <c r="E315" s="86">
        <f t="shared" si="14"/>
        <v>16890300</v>
      </c>
    </row>
    <row r="316" spans="1:5" ht="15.65" x14ac:dyDescent="0.3">
      <c r="A316" s="83" t="s">
        <v>265</v>
      </c>
      <c r="B316" s="83" t="s">
        <v>266</v>
      </c>
      <c r="C316" s="383">
        <v>120000</v>
      </c>
      <c r="D316" s="82">
        <f t="shared" si="14"/>
        <v>126000</v>
      </c>
      <c r="E316" s="82">
        <f t="shared" si="14"/>
        <v>132300</v>
      </c>
    </row>
    <row r="317" spans="1:5" ht="15.65" x14ac:dyDescent="0.3">
      <c r="A317" s="83" t="s">
        <v>235</v>
      </c>
      <c r="B317" s="83" t="s">
        <v>267</v>
      </c>
      <c r="C317" s="383">
        <v>7200000</v>
      </c>
      <c r="D317" s="82">
        <f t="shared" si="14"/>
        <v>7560000</v>
      </c>
      <c r="E317" s="82">
        <f t="shared" si="14"/>
        <v>7938000</v>
      </c>
    </row>
    <row r="318" spans="1:5" ht="15.65" x14ac:dyDescent="0.3">
      <c r="A318" s="83" t="s">
        <v>144</v>
      </c>
      <c r="B318" s="83" t="s">
        <v>64</v>
      </c>
      <c r="C318" s="383">
        <v>6000000</v>
      </c>
      <c r="D318" s="82">
        <f t="shared" si="14"/>
        <v>6300000</v>
      </c>
      <c r="E318" s="82">
        <f t="shared" si="14"/>
        <v>6615000</v>
      </c>
    </row>
    <row r="319" spans="1:5" ht="31.25" x14ac:dyDescent="0.3">
      <c r="A319" s="83" t="s">
        <v>145</v>
      </c>
      <c r="B319" s="83" t="s">
        <v>65</v>
      </c>
      <c r="C319" s="383">
        <v>2000000</v>
      </c>
      <c r="D319" s="82">
        <f t="shared" si="14"/>
        <v>2100000</v>
      </c>
      <c r="E319" s="82">
        <f t="shared" si="14"/>
        <v>2205000</v>
      </c>
    </row>
    <row r="320" spans="1:5" ht="15.65" x14ac:dyDescent="0.3">
      <c r="A320" s="83" t="s">
        <v>286</v>
      </c>
      <c r="B320" s="83" t="s">
        <v>69</v>
      </c>
      <c r="C320" s="377">
        <v>0</v>
      </c>
      <c r="D320" s="82">
        <f t="shared" si="14"/>
        <v>0</v>
      </c>
      <c r="E320" s="82">
        <f t="shared" si="14"/>
        <v>0</v>
      </c>
    </row>
    <row r="321" spans="1:5" ht="31.25" x14ac:dyDescent="0.3">
      <c r="A321" s="80" t="s">
        <v>237</v>
      </c>
      <c r="B321" s="80" t="s">
        <v>71</v>
      </c>
      <c r="C321" s="384">
        <f>C322</f>
        <v>6000000</v>
      </c>
      <c r="D321" s="366">
        <f t="shared" si="14"/>
        <v>6300000</v>
      </c>
      <c r="E321" s="366">
        <f t="shared" si="14"/>
        <v>6615000</v>
      </c>
    </row>
    <row r="322" spans="1:5" ht="15.65" x14ac:dyDescent="0.3">
      <c r="A322" s="83" t="s">
        <v>148</v>
      </c>
      <c r="B322" s="83" t="s">
        <v>72</v>
      </c>
      <c r="C322" s="383">
        <v>6000000</v>
      </c>
      <c r="D322" s="82">
        <f t="shared" si="14"/>
        <v>6300000</v>
      </c>
      <c r="E322" s="82">
        <f t="shared" si="14"/>
        <v>6615000</v>
      </c>
    </row>
    <row r="323" spans="1:5" ht="15.65" x14ac:dyDescent="0.3">
      <c r="A323" s="80" t="s">
        <v>238</v>
      </c>
      <c r="B323" s="80" t="s">
        <v>73</v>
      </c>
      <c r="C323" s="376">
        <f>C324+C325+C326+C327+C328</f>
        <v>27500000</v>
      </c>
      <c r="D323" s="86">
        <f t="shared" si="14"/>
        <v>28875000</v>
      </c>
      <c r="E323" s="86">
        <f t="shared" si="14"/>
        <v>30318750</v>
      </c>
    </row>
    <row r="324" spans="1:5" ht="31.25" x14ac:dyDescent="0.3">
      <c r="A324" s="83" t="s">
        <v>269</v>
      </c>
      <c r="B324" s="83" t="s">
        <v>74</v>
      </c>
      <c r="C324" s="383">
        <v>6000000</v>
      </c>
      <c r="D324" s="82">
        <f t="shared" si="14"/>
        <v>6300000</v>
      </c>
      <c r="E324" s="82">
        <f t="shared" si="14"/>
        <v>6615000</v>
      </c>
    </row>
    <row r="325" spans="1:5" ht="15.65" x14ac:dyDescent="0.3">
      <c r="A325" s="83" t="s">
        <v>270</v>
      </c>
      <c r="B325" s="83" t="s">
        <v>75</v>
      </c>
      <c r="C325" s="383">
        <v>2500000</v>
      </c>
      <c r="D325" s="82">
        <f t="shared" si="14"/>
        <v>2625000</v>
      </c>
      <c r="E325" s="82">
        <f t="shared" si="14"/>
        <v>2756250</v>
      </c>
    </row>
    <row r="326" spans="1:5" ht="15.65" x14ac:dyDescent="0.3">
      <c r="A326" s="83" t="s">
        <v>239</v>
      </c>
      <c r="B326" s="83" t="s">
        <v>240</v>
      </c>
      <c r="C326" s="383">
        <v>9000000</v>
      </c>
      <c r="D326" s="82">
        <f t="shared" si="14"/>
        <v>9450000</v>
      </c>
      <c r="E326" s="82">
        <f t="shared" si="14"/>
        <v>9922500</v>
      </c>
    </row>
    <row r="327" spans="1:5" ht="15.65" x14ac:dyDescent="0.3">
      <c r="A327" s="83" t="s">
        <v>241</v>
      </c>
      <c r="B327" s="83" t="s">
        <v>76</v>
      </c>
      <c r="C327" s="383">
        <v>7500000</v>
      </c>
      <c r="D327" s="82">
        <f t="shared" si="14"/>
        <v>7875000</v>
      </c>
      <c r="E327" s="82">
        <f t="shared" si="14"/>
        <v>8268750</v>
      </c>
    </row>
    <row r="328" spans="1:5" ht="15.65" x14ac:dyDescent="0.3">
      <c r="A328" s="83" t="s">
        <v>242</v>
      </c>
      <c r="B328" s="83" t="s">
        <v>77</v>
      </c>
      <c r="C328" s="383">
        <v>2500000</v>
      </c>
      <c r="D328" s="82">
        <f t="shared" si="14"/>
        <v>2625000</v>
      </c>
      <c r="E328" s="82">
        <f t="shared" si="14"/>
        <v>2756250</v>
      </c>
    </row>
    <row r="329" spans="1:5" ht="15.65" x14ac:dyDescent="0.3">
      <c r="A329" s="83"/>
      <c r="B329" s="83"/>
      <c r="C329" s="12"/>
      <c r="D329" s="82">
        <f t="shared" si="14"/>
        <v>0</v>
      </c>
      <c r="E329" s="82"/>
    </row>
    <row r="330" spans="1:5" ht="15.65" x14ac:dyDescent="0.3">
      <c r="A330" s="80">
        <v>3110900</v>
      </c>
      <c r="B330" s="80" t="s">
        <v>271</v>
      </c>
      <c r="C330" s="376">
        <f>C331</f>
        <v>0</v>
      </c>
      <c r="D330" s="82">
        <f t="shared" si="14"/>
        <v>0</v>
      </c>
      <c r="E330" s="82">
        <f t="shared" si="14"/>
        <v>0</v>
      </c>
    </row>
    <row r="331" spans="1:5" ht="15.65" x14ac:dyDescent="0.3">
      <c r="A331" s="83" t="s">
        <v>272</v>
      </c>
      <c r="B331" s="83" t="s">
        <v>273</v>
      </c>
      <c r="C331" s="377">
        <v>0</v>
      </c>
      <c r="D331" s="82">
        <f t="shared" si="14"/>
        <v>0</v>
      </c>
      <c r="E331" s="82">
        <f t="shared" si="14"/>
        <v>0</v>
      </c>
    </row>
    <row r="332" spans="1:5" ht="15.65" x14ac:dyDescent="0.3">
      <c r="A332" s="80" t="s">
        <v>274</v>
      </c>
      <c r="B332" s="80" t="s">
        <v>82</v>
      </c>
      <c r="C332" s="384">
        <f>C333+C334+C336</f>
        <v>9000000</v>
      </c>
      <c r="D332" s="366">
        <f t="shared" si="14"/>
        <v>9450000</v>
      </c>
      <c r="E332" s="366">
        <f t="shared" si="14"/>
        <v>9922500</v>
      </c>
    </row>
    <row r="333" spans="1:5" ht="15.65" x14ac:dyDescent="0.3">
      <c r="A333" s="83" t="s">
        <v>153</v>
      </c>
      <c r="B333" s="83" t="s">
        <v>83</v>
      </c>
      <c r="C333" s="383">
        <v>2500000</v>
      </c>
      <c r="D333" s="82">
        <f t="shared" ref="D333:E349" si="15">C333*1.05</f>
        <v>2625000</v>
      </c>
      <c r="E333" s="82">
        <f t="shared" si="15"/>
        <v>2756250</v>
      </c>
    </row>
    <row r="334" spans="1:5" ht="15.65" x14ac:dyDescent="0.3">
      <c r="A334" s="83" t="s">
        <v>275</v>
      </c>
      <c r="B334" s="83" t="s">
        <v>84</v>
      </c>
      <c r="C334" s="383">
        <v>5000000</v>
      </c>
      <c r="D334" s="82">
        <f t="shared" si="15"/>
        <v>5250000</v>
      </c>
      <c r="E334" s="93">
        <f t="shared" si="15"/>
        <v>5512500</v>
      </c>
    </row>
    <row r="335" spans="1:5" ht="15.65" x14ac:dyDescent="0.3">
      <c r="A335" s="83" t="s">
        <v>276</v>
      </c>
      <c r="B335" s="12" t="s">
        <v>750</v>
      </c>
      <c r="C335" s="377">
        <v>0</v>
      </c>
      <c r="D335" s="82">
        <f t="shared" si="15"/>
        <v>0</v>
      </c>
      <c r="E335" s="82">
        <f t="shared" si="15"/>
        <v>0</v>
      </c>
    </row>
    <row r="336" spans="1:5" ht="15.65" x14ac:dyDescent="0.3">
      <c r="A336" s="12">
        <v>3110701</v>
      </c>
      <c r="B336" s="83" t="s">
        <v>277</v>
      </c>
      <c r="C336" s="383">
        <v>1500000</v>
      </c>
      <c r="D336" s="82">
        <f t="shared" si="15"/>
        <v>1575000</v>
      </c>
      <c r="E336" s="93">
        <f t="shared" si="15"/>
        <v>1653750</v>
      </c>
    </row>
    <row r="337" spans="1:5" ht="15.65" x14ac:dyDescent="0.3">
      <c r="A337" s="80" t="s">
        <v>278</v>
      </c>
      <c r="B337" s="80" t="s">
        <v>279</v>
      </c>
      <c r="C337" s="376">
        <f>C338+C339</f>
        <v>0</v>
      </c>
      <c r="D337" s="82">
        <f t="shared" si="15"/>
        <v>0</v>
      </c>
      <c r="E337" s="82">
        <f t="shared" si="15"/>
        <v>0</v>
      </c>
    </row>
    <row r="338" spans="1:5" ht="15.65" x14ac:dyDescent="0.3">
      <c r="A338" s="83" t="s">
        <v>280</v>
      </c>
      <c r="B338" s="83" t="s">
        <v>281</v>
      </c>
      <c r="C338" s="377">
        <v>0</v>
      </c>
      <c r="D338" s="82">
        <f t="shared" si="15"/>
        <v>0</v>
      </c>
      <c r="E338" s="82">
        <f t="shared" si="15"/>
        <v>0</v>
      </c>
    </row>
    <row r="339" spans="1:5" ht="31.25" x14ac:dyDescent="0.3">
      <c r="A339" s="83" t="s">
        <v>282</v>
      </c>
      <c r="B339" s="83" t="s">
        <v>283</v>
      </c>
      <c r="C339" s="377">
        <v>0</v>
      </c>
      <c r="D339" s="82">
        <f t="shared" si="15"/>
        <v>0</v>
      </c>
      <c r="E339" s="82">
        <f t="shared" si="15"/>
        <v>0</v>
      </c>
    </row>
    <row r="340" spans="1:5" ht="15.65" x14ac:dyDescent="0.3">
      <c r="A340" s="83">
        <v>3111403</v>
      </c>
      <c r="B340" s="83" t="s">
        <v>284</v>
      </c>
      <c r="C340" s="82"/>
      <c r="D340" s="82">
        <f t="shared" si="15"/>
        <v>0</v>
      </c>
      <c r="E340" s="82">
        <f t="shared" si="15"/>
        <v>0</v>
      </c>
    </row>
    <row r="341" spans="1:5" ht="31.25" x14ac:dyDescent="0.3">
      <c r="A341" s="83"/>
      <c r="B341" s="80" t="s">
        <v>896</v>
      </c>
      <c r="C341" s="365">
        <f>C266+C269+C273+C281+C288+C291+C294+C297+C308+C312+C315+C321+C323+C332</f>
        <v>356313803</v>
      </c>
      <c r="D341" s="366">
        <f t="shared" si="15"/>
        <v>374129493.15000004</v>
      </c>
      <c r="E341" s="366">
        <f t="shared" si="15"/>
        <v>392835967.80750006</v>
      </c>
    </row>
    <row r="342" spans="1:5" ht="15.65" x14ac:dyDescent="0.3">
      <c r="A342" s="335"/>
      <c r="B342" s="335"/>
      <c r="C342" s="386"/>
      <c r="D342" s="86"/>
      <c r="E342" s="86"/>
    </row>
    <row r="343" spans="1:5" ht="15.65" x14ac:dyDescent="0.3">
      <c r="A343" s="335"/>
      <c r="B343" s="335" t="s">
        <v>897</v>
      </c>
      <c r="C343" s="386"/>
      <c r="D343" s="86">
        <f t="shared" si="15"/>
        <v>0</v>
      </c>
      <c r="E343" s="86">
        <f t="shared" si="15"/>
        <v>0</v>
      </c>
    </row>
    <row r="344" spans="1:5" ht="15.65" x14ac:dyDescent="0.3">
      <c r="A344" s="339">
        <v>3110599</v>
      </c>
      <c r="B344" s="147" t="s">
        <v>583</v>
      </c>
      <c r="C344" s="387">
        <v>0</v>
      </c>
      <c r="D344" s="86">
        <f t="shared" si="15"/>
        <v>0</v>
      </c>
      <c r="E344" s="86">
        <f t="shared" si="15"/>
        <v>0</v>
      </c>
    </row>
    <row r="345" spans="1:5" ht="15.65" x14ac:dyDescent="0.3">
      <c r="A345" s="76">
        <v>3110504</v>
      </c>
      <c r="B345" s="147" t="s">
        <v>583</v>
      </c>
      <c r="C345" s="387">
        <v>0</v>
      </c>
      <c r="D345" s="86">
        <f t="shared" si="15"/>
        <v>0</v>
      </c>
      <c r="E345" s="86">
        <f t="shared" si="15"/>
        <v>0</v>
      </c>
    </row>
    <row r="346" spans="1:5" ht="15.65" x14ac:dyDescent="0.3">
      <c r="A346" s="101" t="s">
        <v>272</v>
      </c>
      <c r="B346" s="101" t="s">
        <v>273</v>
      </c>
      <c r="C346" s="387">
        <v>0</v>
      </c>
      <c r="D346" s="86">
        <f t="shared" si="15"/>
        <v>0</v>
      </c>
      <c r="E346" s="86">
        <f t="shared" si="15"/>
        <v>0</v>
      </c>
    </row>
    <row r="347" spans="1:5" ht="15.65" x14ac:dyDescent="0.3">
      <c r="A347" s="76"/>
      <c r="B347" s="147" t="s">
        <v>781</v>
      </c>
      <c r="C347" s="387">
        <v>0</v>
      </c>
      <c r="D347" s="86">
        <f t="shared" si="15"/>
        <v>0</v>
      </c>
      <c r="E347" s="86">
        <f t="shared" si="15"/>
        <v>0</v>
      </c>
    </row>
    <row r="348" spans="1:5" ht="15.65" x14ac:dyDescent="0.3">
      <c r="A348" s="339"/>
      <c r="B348" s="335" t="s">
        <v>898</v>
      </c>
      <c r="C348" s="387">
        <f>C344+C345+C346+C347</f>
        <v>0</v>
      </c>
      <c r="D348" s="86">
        <f t="shared" si="15"/>
        <v>0</v>
      </c>
      <c r="E348" s="86">
        <f t="shared" si="15"/>
        <v>0</v>
      </c>
    </row>
    <row r="349" spans="1:5" ht="46.75" x14ac:dyDescent="0.3">
      <c r="A349" s="339"/>
      <c r="B349" s="335" t="s">
        <v>899</v>
      </c>
      <c r="C349" s="386">
        <f>C341+C348</f>
        <v>356313803</v>
      </c>
      <c r="D349" s="386">
        <f t="shared" si="15"/>
        <v>374129493.15000004</v>
      </c>
      <c r="E349" s="386">
        <f t="shared" si="15"/>
        <v>392835967.80750006</v>
      </c>
    </row>
    <row r="350" spans="1:5" ht="15.65" x14ac:dyDescent="0.3">
      <c r="A350" s="101"/>
      <c r="B350" s="101"/>
      <c r="C350" s="387"/>
      <c r="D350" s="82"/>
      <c r="E350" s="82"/>
    </row>
    <row r="351" spans="1:5" ht="15.65" x14ac:dyDescent="0.3">
      <c r="A351" s="76"/>
      <c r="B351" s="147"/>
      <c r="C351" s="387"/>
      <c r="D351" s="82"/>
      <c r="E351" s="82"/>
    </row>
    <row r="352" spans="1:5" ht="15.65" x14ac:dyDescent="0.3">
      <c r="A352" s="339"/>
      <c r="B352" s="335"/>
      <c r="C352" s="386"/>
      <c r="D352" s="386"/>
      <c r="E352" s="386"/>
    </row>
    <row r="353" spans="1:5" ht="15.65" x14ac:dyDescent="0.3">
      <c r="A353" s="339"/>
      <c r="B353" s="335"/>
      <c r="C353" s="386"/>
      <c r="D353" s="386"/>
      <c r="E353" s="386"/>
    </row>
    <row r="354" spans="1:5" ht="15.65" x14ac:dyDescent="0.3">
      <c r="A354" s="12"/>
      <c r="B354" s="145"/>
      <c r="D354" s="82"/>
      <c r="E354" s="82"/>
    </row>
    <row r="355" spans="1:5" ht="31.25" x14ac:dyDescent="0.3">
      <c r="A355" s="78"/>
      <c r="B355" s="78" t="s">
        <v>285</v>
      </c>
      <c r="C355" s="79" t="s">
        <v>184</v>
      </c>
      <c r="D355" s="79" t="s">
        <v>746</v>
      </c>
      <c r="E355" s="79" t="s">
        <v>791</v>
      </c>
    </row>
    <row r="356" spans="1:5" ht="15.65" x14ac:dyDescent="0.3">
      <c r="A356" s="339" t="s">
        <v>98</v>
      </c>
      <c r="B356" s="388" t="s">
        <v>187</v>
      </c>
      <c r="C356" s="82">
        <v>0</v>
      </c>
      <c r="D356" s="387">
        <f>C356*1.05</f>
        <v>0</v>
      </c>
      <c r="E356" s="387">
        <f t="shared" ref="D356:E371" si="16">D356*1.05</f>
        <v>0</v>
      </c>
    </row>
    <row r="357" spans="1:5" ht="15.65" x14ac:dyDescent="0.3">
      <c r="A357" s="335" t="s">
        <v>192</v>
      </c>
      <c r="B357" s="335" t="s">
        <v>23</v>
      </c>
      <c r="C357" s="86">
        <f>C358+C359</f>
        <v>1491000</v>
      </c>
      <c r="D357" s="386">
        <f t="shared" si="16"/>
        <v>1565550</v>
      </c>
      <c r="E357" s="386">
        <f t="shared" si="16"/>
        <v>1643827.5</v>
      </c>
    </row>
    <row r="358" spans="1:5" ht="15.65" x14ac:dyDescent="0.3">
      <c r="A358" s="339" t="s">
        <v>101</v>
      </c>
      <c r="B358" s="339" t="s">
        <v>102</v>
      </c>
      <c r="C358" s="82">
        <v>1260000</v>
      </c>
      <c r="D358" s="387">
        <f t="shared" si="16"/>
        <v>1323000</v>
      </c>
      <c r="E358" s="387">
        <f t="shared" si="16"/>
        <v>1389150</v>
      </c>
    </row>
    <row r="359" spans="1:5" ht="15.65" x14ac:dyDescent="0.3">
      <c r="A359" s="339" t="s">
        <v>103</v>
      </c>
      <c r="B359" s="339" t="s">
        <v>104</v>
      </c>
      <c r="C359" s="82">
        <v>231000</v>
      </c>
      <c r="D359" s="387">
        <f t="shared" si="16"/>
        <v>242550</v>
      </c>
      <c r="E359" s="387">
        <f t="shared" si="16"/>
        <v>254677.5</v>
      </c>
    </row>
    <row r="360" spans="1:5" ht="15.65" x14ac:dyDescent="0.3">
      <c r="A360" s="335" t="s">
        <v>193</v>
      </c>
      <c r="B360" s="335" t="s">
        <v>194</v>
      </c>
      <c r="C360" s="86">
        <v>350700</v>
      </c>
      <c r="D360" s="387">
        <f t="shared" si="16"/>
        <v>368235</v>
      </c>
      <c r="E360" s="387">
        <f t="shared" si="16"/>
        <v>386646.75</v>
      </c>
    </row>
    <row r="361" spans="1:5" ht="15.65" x14ac:dyDescent="0.3">
      <c r="A361" s="339" t="s">
        <v>105</v>
      </c>
      <c r="B361" s="389" t="s">
        <v>106</v>
      </c>
      <c r="C361" s="82">
        <f>C362+C363</f>
        <v>98504</v>
      </c>
      <c r="D361" s="386">
        <f t="shared" si="16"/>
        <v>103429.20000000001</v>
      </c>
      <c r="E361" s="386">
        <f t="shared" si="16"/>
        <v>108600.66000000002</v>
      </c>
    </row>
    <row r="362" spans="1:5" ht="15.65" x14ac:dyDescent="0.3">
      <c r="A362" s="339" t="s">
        <v>107</v>
      </c>
      <c r="B362" s="389" t="s">
        <v>108</v>
      </c>
      <c r="C362" s="82">
        <v>88000</v>
      </c>
      <c r="D362" s="387">
        <f t="shared" si="16"/>
        <v>92400</v>
      </c>
      <c r="E362" s="387">
        <f t="shared" si="16"/>
        <v>97020</v>
      </c>
    </row>
    <row r="363" spans="1:5" ht="15.65" x14ac:dyDescent="0.3">
      <c r="A363" s="339" t="s">
        <v>109</v>
      </c>
      <c r="B363" s="389" t="s">
        <v>29</v>
      </c>
      <c r="C363" s="82">
        <v>10504</v>
      </c>
      <c r="D363" s="387">
        <f t="shared" si="16"/>
        <v>11029.2</v>
      </c>
      <c r="E363" s="387">
        <f t="shared" si="16"/>
        <v>11580.660000000002</v>
      </c>
    </row>
    <row r="364" spans="1:5" ht="31.25" x14ac:dyDescent="0.3">
      <c r="A364" s="335" t="s">
        <v>195</v>
      </c>
      <c r="B364" s="335" t="s">
        <v>30</v>
      </c>
      <c r="C364" s="366">
        <f>C365+C366+C367</f>
        <v>1175250</v>
      </c>
      <c r="D364" s="390">
        <f t="shared" si="16"/>
        <v>1234012.5</v>
      </c>
      <c r="E364" s="390">
        <f t="shared" si="16"/>
        <v>1295713.125</v>
      </c>
    </row>
    <row r="365" spans="1:5" ht="31.25" x14ac:dyDescent="0.3">
      <c r="A365" s="339" t="s">
        <v>110</v>
      </c>
      <c r="B365" s="389" t="s">
        <v>111</v>
      </c>
      <c r="C365" s="82">
        <v>105000</v>
      </c>
      <c r="D365" s="387">
        <f t="shared" si="16"/>
        <v>110250</v>
      </c>
      <c r="E365" s="387">
        <f t="shared" si="16"/>
        <v>115762.5</v>
      </c>
    </row>
    <row r="366" spans="1:5" ht="15.65" x14ac:dyDescent="0.3">
      <c r="A366" s="339" t="s">
        <v>112</v>
      </c>
      <c r="B366" s="389" t="s">
        <v>113</v>
      </c>
      <c r="C366" s="82">
        <v>572250</v>
      </c>
      <c r="D366" s="387">
        <f t="shared" si="16"/>
        <v>600862.5</v>
      </c>
      <c r="E366" s="387">
        <f t="shared" si="16"/>
        <v>630905.625</v>
      </c>
    </row>
    <row r="367" spans="1:5" ht="15.65" x14ac:dyDescent="0.3">
      <c r="A367" s="339" t="s">
        <v>114</v>
      </c>
      <c r="B367" s="389" t="s">
        <v>115</v>
      </c>
      <c r="C367" s="82">
        <v>498000</v>
      </c>
      <c r="D367" s="387">
        <f t="shared" si="16"/>
        <v>522900</v>
      </c>
      <c r="E367" s="387">
        <f t="shared" si="16"/>
        <v>549045</v>
      </c>
    </row>
    <row r="368" spans="1:5" ht="31.25" x14ac:dyDescent="0.3">
      <c r="A368" s="335" t="s">
        <v>117</v>
      </c>
      <c r="B368" s="335" t="s">
        <v>118</v>
      </c>
      <c r="C368" s="82">
        <v>0</v>
      </c>
      <c r="D368" s="387">
        <f t="shared" si="16"/>
        <v>0</v>
      </c>
      <c r="E368" s="387">
        <f t="shared" si="16"/>
        <v>0</v>
      </c>
    </row>
    <row r="369" spans="1:5" ht="15.65" x14ac:dyDescent="0.3">
      <c r="A369" s="339" t="s">
        <v>119</v>
      </c>
      <c r="B369" s="339" t="s">
        <v>120</v>
      </c>
      <c r="C369" s="82">
        <v>0</v>
      </c>
      <c r="D369" s="387">
        <f t="shared" si="16"/>
        <v>0</v>
      </c>
      <c r="E369" s="387">
        <f t="shared" si="16"/>
        <v>0</v>
      </c>
    </row>
    <row r="370" spans="1:5" ht="15.65" x14ac:dyDescent="0.3">
      <c r="A370" s="339" t="s">
        <v>197</v>
      </c>
      <c r="B370" s="339" t="s">
        <v>198</v>
      </c>
      <c r="C370" s="82">
        <v>0</v>
      </c>
      <c r="D370" s="387">
        <f t="shared" si="16"/>
        <v>0</v>
      </c>
      <c r="E370" s="387">
        <f t="shared" si="16"/>
        <v>0</v>
      </c>
    </row>
    <row r="371" spans="1:5" ht="15.65" x14ac:dyDescent="0.3">
      <c r="A371" s="339" t="s">
        <v>121</v>
      </c>
      <c r="B371" s="339" t="s">
        <v>115</v>
      </c>
      <c r="C371" s="82">
        <v>0</v>
      </c>
      <c r="D371" s="387">
        <f t="shared" si="16"/>
        <v>0</v>
      </c>
      <c r="E371" s="387">
        <f t="shared" si="16"/>
        <v>0</v>
      </c>
    </row>
    <row r="372" spans="1:5" ht="31.25" x14ac:dyDescent="0.3">
      <c r="A372" s="335" t="s">
        <v>199</v>
      </c>
      <c r="B372" s="335" t="s">
        <v>38</v>
      </c>
      <c r="C372" s="86">
        <f>C373</f>
        <v>105000</v>
      </c>
      <c r="D372" s="386">
        <f t="shared" ref="D372:E429" si="17">C372*1.05</f>
        <v>110250</v>
      </c>
      <c r="E372" s="386">
        <f t="shared" si="17"/>
        <v>115762.5</v>
      </c>
    </row>
    <row r="373" spans="1:5" ht="15.65" x14ac:dyDescent="0.3">
      <c r="A373" s="339" t="s">
        <v>200</v>
      </c>
      <c r="B373" s="339" t="s">
        <v>201</v>
      </c>
      <c r="C373" s="82">
        <v>105000</v>
      </c>
      <c r="D373" s="387">
        <f t="shared" si="17"/>
        <v>110250</v>
      </c>
      <c r="E373" s="387">
        <f t="shared" si="17"/>
        <v>115762.5</v>
      </c>
    </row>
    <row r="374" spans="1:5" ht="15.65" x14ac:dyDescent="0.3">
      <c r="A374" s="339" t="s">
        <v>122</v>
      </c>
      <c r="B374" s="339" t="s">
        <v>123</v>
      </c>
      <c r="C374" s="82">
        <v>0</v>
      </c>
      <c r="D374" s="387">
        <f t="shared" si="17"/>
        <v>0</v>
      </c>
      <c r="E374" s="387">
        <f t="shared" si="17"/>
        <v>0</v>
      </c>
    </row>
    <row r="375" spans="1:5" ht="15.65" x14ac:dyDescent="0.3">
      <c r="A375" s="339" t="s">
        <v>124</v>
      </c>
      <c r="B375" s="339" t="s">
        <v>125</v>
      </c>
      <c r="C375" s="82">
        <v>0</v>
      </c>
      <c r="D375" s="387">
        <f t="shared" si="17"/>
        <v>0</v>
      </c>
      <c r="E375" s="387">
        <f t="shared" si="17"/>
        <v>0</v>
      </c>
    </row>
    <row r="376" spans="1:5" ht="15.65" x14ac:dyDescent="0.3">
      <c r="A376" s="339" t="s">
        <v>202</v>
      </c>
      <c r="B376" s="339" t="s">
        <v>41</v>
      </c>
      <c r="C376" s="82">
        <v>0</v>
      </c>
      <c r="D376" s="387">
        <f t="shared" si="17"/>
        <v>0</v>
      </c>
      <c r="E376" s="387">
        <f t="shared" si="17"/>
        <v>0</v>
      </c>
    </row>
    <row r="377" spans="1:5" ht="15.65" x14ac:dyDescent="0.3">
      <c r="A377" s="335" t="s">
        <v>259</v>
      </c>
      <c r="B377" s="335" t="s">
        <v>42</v>
      </c>
      <c r="C377" s="82">
        <v>0</v>
      </c>
      <c r="D377" s="387">
        <f t="shared" si="17"/>
        <v>0</v>
      </c>
      <c r="E377" s="387">
        <f t="shared" si="17"/>
        <v>0</v>
      </c>
    </row>
    <row r="378" spans="1:5" ht="15.65" x14ac:dyDescent="0.3">
      <c r="A378" s="339" t="s">
        <v>260</v>
      </c>
      <c r="B378" s="339" t="s">
        <v>43</v>
      </c>
      <c r="C378" s="82">
        <v>0</v>
      </c>
      <c r="D378" s="387">
        <f t="shared" si="17"/>
        <v>0</v>
      </c>
      <c r="E378" s="387">
        <f t="shared" si="17"/>
        <v>0</v>
      </c>
    </row>
    <row r="379" spans="1:5" ht="15.65" x14ac:dyDescent="0.3">
      <c r="A379" s="335" t="s">
        <v>203</v>
      </c>
      <c r="B379" s="335" t="s">
        <v>45</v>
      </c>
      <c r="C379" s="82">
        <v>0</v>
      </c>
      <c r="D379" s="387">
        <f t="shared" si="17"/>
        <v>0</v>
      </c>
      <c r="E379" s="387">
        <f t="shared" si="17"/>
        <v>0</v>
      </c>
    </row>
    <row r="380" spans="1:5" ht="15.65" x14ac:dyDescent="0.3">
      <c r="A380" s="339" t="s">
        <v>127</v>
      </c>
      <c r="B380" s="339" t="s">
        <v>128</v>
      </c>
      <c r="C380" s="82">
        <v>0</v>
      </c>
      <c r="D380" s="387">
        <f t="shared" si="17"/>
        <v>0</v>
      </c>
      <c r="E380" s="387">
        <f t="shared" si="17"/>
        <v>0</v>
      </c>
    </row>
    <row r="381" spans="1:5" ht="15.65" x14ac:dyDescent="0.3">
      <c r="A381" s="339" t="s">
        <v>129</v>
      </c>
      <c r="B381" s="339" t="s">
        <v>130</v>
      </c>
      <c r="C381" s="82">
        <v>0</v>
      </c>
      <c r="D381" s="387">
        <f t="shared" si="17"/>
        <v>0</v>
      </c>
      <c r="E381" s="387">
        <f t="shared" si="17"/>
        <v>0</v>
      </c>
    </row>
    <row r="382" spans="1:5" ht="15.65" x14ac:dyDescent="0.3">
      <c r="A382" s="335" t="s">
        <v>205</v>
      </c>
      <c r="B382" s="335" t="s">
        <v>48</v>
      </c>
      <c r="C382" s="86">
        <f>C383+C384</f>
        <v>802200</v>
      </c>
      <c r="D382" s="386">
        <f t="shared" si="17"/>
        <v>842310</v>
      </c>
      <c r="E382" s="386">
        <f t="shared" si="17"/>
        <v>884425.5</v>
      </c>
    </row>
    <row r="383" spans="1:5" ht="31.25" x14ac:dyDescent="0.3">
      <c r="A383" s="339" t="s">
        <v>131</v>
      </c>
      <c r="B383" s="389" t="s">
        <v>206</v>
      </c>
      <c r="C383" s="82">
        <v>327600</v>
      </c>
      <c r="D383" s="387">
        <f t="shared" si="17"/>
        <v>343980</v>
      </c>
      <c r="E383" s="387">
        <f t="shared" si="17"/>
        <v>361179</v>
      </c>
    </row>
    <row r="384" spans="1:5" ht="15.65" x14ac:dyDescent="0.3">
      <c r="A384" s="339" t="s">
        <v>133</v>
      </c>
      <c r="B384" s="389" t="s">
        <v>207</v>
      </c>
      <c r="C384" s="82">
        <v>474600</v>
      </c>
      <c r="D384" s="387">
        <f t="shared" si="17"/>
        <v>498330</v>
      </c>
      <c r="E384" s="387">
        <f t="shared" si="17"/>
        <v>523246.5</v>
      </c>
    </row>
    <row r="385" spans="1:5" ht="15.65" x14ac:dyDescent="0.3">
      <c r="A385" s="335" t="s">
        <v>208</v>
      </c>
      <c r="B385" s="335" t="s">
        <v>209</v>
      </c>
      <c r="C385" s="82">
        <v>0</v>
      </c>
      <c r="D385" s="387">
        <f t="shared" si="17"/>
        <v>0</v>
      </c>
      <c r="E385" s="387">
        <f t="shared" si="17"/>
        <v>0</v>
      </c>
    </row>
    <row r="386" spans="1:5" ht="15.65" x14ac:dyDescent="0.3">
      <c r="A386" s="339" t="s">
        <v>210</v>
      </c>
      <c r="B386" s="339" t="s">
        <v>66</v>
      </c>
      <c r="C386" s="82">
        <v>0</v>
      </c>
      <c r="D386" s="387">
        <f t="shared" si="17"/>
        <v>0</v>
      </c>
      <c r="E386" s="387">
        <f t="shared" si="17"/>
        <v>0</v>
      </c>
    </row>
    <row r="387" spans="1:5" ht="15.65" x14ac:dyDescent="0.3">
      <c r="A387" s="335" t="s">
        <v>211</v>
      </c>
      <c r="B387" s="335" t="s">
        <v>51</v>
      </c>
      <c r="C387" s="86">
        <f>C388+C389+C390+C391+C392+C393</f>
        <v>16882375</v>
      </c>
      <c r="D387" s="386">
        <f t="shared" si="17"/>
        <v>17726493.75</v>
      </c>
      <c r="E387" s="386">
        <f t="shared" si="17"/>
        <v>18612818.4375</v>
      </c>
    </row>
    <row r="388" spans="1:5" ht="15.65" x14ac:dyDescent="0.3">
      <c r="A388" s="339" t="s">
        <v>212</v>
      </c>
      <c r="B388" s="389" t="s">
        <v>213</v>
      </c>
      <c r="C388" s="82">
        <v>6090000</v>
      </c>
      <c r="D388" s="387">
        <f t="shared" si="17"/>
        <v>6394500</v>
      </c>
      <c r="E388" s="387">
        <f t="shared" si="17"/>
        <v>6714225</v>
      </c>
    </row>
    <row r="389" spans="1:5" ht="15.65" x14ac:dyDescent="0.3">
      <c r="A389" s="339" t="s">
        <v>214</v>
      </c>
      <c r="B389" s="389" t="s">
        <v>215</v>
      </c>
      <c r="C389" s="82">
        <v>5175000</v>
      </c>
      <c r="D389" s="387">
        <f t="shared" si="17"/>
        <v>5433750</v>
      </c>
      <c r="E389" s="387">
        <f t="shared" si="17"/>
        <v>5705437.5</v>
      </c>
    </row>
    <row r="390" spans="1:5" ht="15.65" x14ac:dyDescent="0.3">
      <c r="A390" s="339" t="s">
        <v>216</v>
      </c>
      <c r="B390" s="389" t="s">
        <v>217</v>
      </c>
      <c r="C390" s="82">
        <v>118125</v>
      </c>
      <c r="D390" s="387">
        <f t="shared" si="17"/>
        <v>124031.25</v>
      </c>
      <c r="E390" s="387">
        <f t="shared" si="17"/>
        <v>130232.8125</v>
      </c>
    </row>
    <row r="391" spans="1:5" ht="15.65" x14ac:dyDescent="0.3">
      <c r="A391" s="339" t="s">
        <v>261</v>
      </c>
      <c r="B391" s="389" t="s">
        <v>218</v>
      </c>
      <c r="C391" s="82">
        <v>299250</v>
      </c>
      <c r="D391" s="387">
        <f t="shared" si="17"/>
        <v>314212.5</v>
      </c>
      <c r="E391" s="387">
        <f t="shared" si="17"/>
        <v>329923.125</v>
      </c>
    </row>
    <row r="392" spans="1:5" ht="15.65" x14ac:dyDescent="0.3">
      <c r="A392" s="339" t="s">
        <v>219</v>
      </c>
      <c r="B392" s="389" t="s">
        <v>220</v>
      </c>
      <c r="C392" s="82">
        <v>3100000</v>
      </c>
      <c r="D392" s="387">
        <f t="shared" si="17"/>
        <v>3255000</v>
      </c>
      <c r="E392" s="387">
        <f t="shared" si="17"/>
        <v>3417750</v>
      </c>
    </row>
    <row r="393" spans="1:5" ht="15.65" x14ac:dyDescent="0.3">
      <c r="A393" s="339" t="s">
        <v>221</v>
      </c>
      <c r="B393" s="389" t="s">
        <v>222</v>
      </c>
      <c r="C393" s="82">
        <v>2100000</v>
      </c>
      <c r="D393" s="387">
        <f t="shared" si="17"/>
        <v>2205000</v>
      </c>
      <c r="E393" s="387">
        <f t="shared" si="17"/>
        <v>2315250</v>
      </c>
    </row>
    <row r="394" spans="1:5" ht="15.65" x14ac:dyDescent="0.3">
      <c r="A394" s="339" t="s">
        <v>262</v>
      </c>
      <c r="B394" s="389" t="s">
        <v>55</v>
      </c>
      <c r="C394" s="82">
        <v>0</v>
      </c>
      <c r="D394" s="387">
        <f t="shared" si="17"/>
        <v>0</v>
      </c>
      <c r="E394" s="387">
        <f t="shared" si="17"/>
        <v>0</v>
      </c>
    </row>
    <row r="395" spans="1:5" ht="15.65" x14ac:dyDescent="0.3">
      <c r="A395" s="339" t="s">
        <v>223</v>
      </c>
      <c r="B395" s="389" t="s">
        <v>224</v>
      </c>
      <c r="C395" s="82">
        <v>525000</v>
      </c>
      <c r="D395" s="387">
        <f t="shared" si="17"/>
        <v>551250</v>
      </c>
      <c r="E395" s="387">
        <f t="shared" si="17"/>
        <v>578812.5</v>
      </c>
    </row>
    <row r="396" spans="1:5" ht="15.65" x14ac:dyDescent="0.3">
      <c r="A396" s="339" t="s">
        <v>225</v>
      </c>
      <c r="B396" s="389" t="s">
        <v>263</v>
      </c>
      <c r="C396" s="82">
        <v>0</v>
      </c>
      <c r="D396" s="387">
        <f t="shared" si="17"/>
        <v>0</v>
      </c>
      <c r="E396" s="387">
        <f t="shared" si="17"/>
        <v>0</v>
      </c>
    </row>
    <row r="397" spans="1:5" ht="15.65" x14ac:dyDescent="0.3">
      <c r="A397" s="335" t="s">
        <v>227</v>
      </c>
      <c r="B397" s="335" t="s">
        <v>56</v>
      </c>
      <c r="C397" s="86">
        <f>C398+C399+C400</f>
        <v>1833186.05</v>
      </c>
      <c r="D397" s="386">
        <f t="shared" si="17"/>
        <v>1924845.3525</v>
      </c>
      <c r="E397" s="386">
        <f t="shared" si="17"/>
        <v>2021087.6201250001</v>
      </c>
    </row>
    <row r="398" spans="1:5" ht="31.25" x14ac:dyDescent="0.3">
      <c r="A398" s="339" t="s">
        <v>138</v>
      </c>
      <c r="B398" s="389" t="s">
        <v>228</v>
      </c>
      <c r="C398" s="82">
        <v>465560</v>
      </c>
      <c r="D398" s="387">
        <f t="shared" si="17"/>
        <v>488838</v>
      </c>
      <c r="E398" s="387">
        <f t="shared" si="17"/>
        <v>513279.9</v>
      </c>
    </row>
    <row r="399" spans="1:5" ht="15.65" x14ac:dyDescent="0.3">
      <c r="A399" s="339" t="s">
        <v>229</v>
      </c>
      <c r="B399" s="389" t="s">
        <v>58</v>
      </c>
      <c r="C399" s="82">
        <v>317625</v>
      </c>
      <c r="D399" s="387">
        <f t="shared" si="17"/>
        <v>333506.25</v>
      </c>
      <c r="E399" s="387">
        <f t="shared" si="17"/>
        <v>350181.5625</v>
      </c>
    </row>
    <row r="400" spans="1:5" ht="15.65" x14ac:dyDescent="0.3">
      <c r="A400" s="339" t="s">
        <v>140</v>
      </c>
      <c r="B400" s="389" t="s">
        <v>230</v>
      </c>
      <c r="C400" s="82">
        <v>1050001.05</v>
      </c>
      <c r="D400" s="387">
        <f t="shared" si="17"/>
        <v>1102501.1025</v>
      </c>
      <c r="E400" s="387">
        <f t="shared" si="17"/>
        <v>1157626.157625</v>
      </c>
    </row>
    <row r="401" spans="1:5" ht="15.65" x14ac:dyDescent="0.3">
      <c r="A401" s="335" t="s">
        <v>231</v>
      </c>
      <c r="B401" s="335" t="s">
        <v>60</v>
      </c>
      <c r="C401" s="86">
        <f>C402+C403</f>
        <v>2200000</v>
      </c>
      <c r="D401" s="387">
        <f t="shared" si="17"/>
        <v>2310000</v>
      </c>
      <c r="E401" s="387">
        <f t="shared" si="17"/>
        <v>2425500</v>
      </c>
    </row>
    <row r="402" spans="1:5" ht="15.65" x14ac:dyDescent="0.3">
      <c r="A402" s="339" t="s">
        <v>142</v>
      </c>
      <c r="B402" s="389" t="s">
        <v>143</v>
      </c>
      <c r="C402" s="82">
        <v>1260000</v>
      </c>
      <c r="D402" s="387">
        <f t="shared" si="17"/>
        <v>1323000</v>
      </c>
      <c r="E402" s="387">
        <f t="shared" si="17"/>
        <v>1389150</v>
      </c>
    </row>
    <row r="403" spans="1:5" x14ac:dyDescent="0.35">
      <c r="A403" s="339" t="s">
        <v>232</v>
      </c>
      <c r="B403" s="389" t="s">
        <v>264</v>
      </c>
      <c r="C403" s="82">
        <v>940000</v>
      </c>
      <c r="D403" s="387">
        <f t="shared" si="17"/>
        <v>987000</v>
      </c>
      <c r="E403" s="387">
        <f t="shared" si="17"/>
        <v>1036350</v>
      </c>
    </row>
    <row r="404" spans="1:5" ht="15.65" x14ac:dyDescent="0.3">
      <c r="A404" s="335" t="s">
        <v>234</v>
      </c>
      <c r="B404" s="335" t="s">
        <v>62</v>
      </c>
      <c r="C404" s="86">
        <f>C406+C407+C405</f>
        <v>1436400</v>
      </c>
      <c r="D404" s="387">
        <f t="shared" si="17"/>
        <v>1508220</v>
      </c>
      <c r="E404" s="387">
        <f t="shared" si="17"/>
        <v>1583631</v>
      </c>
    </row>
    <row r="405" spans="1:5" ht="15.65" x14ac:dyDescent="0.3">
      <c r="A405" s="339" t="s">
        <v>265</v>
      </c>
      <c r="B405" s="339" t="s">
        <v>266</v>
      </c>
      <c r="C405" s="82">
        <v>0</v>
      </c>
      <c r="D405" s="387">
        <f t="shared" si="17"/>
        <v>0</v>
      </c>
      <c r="E405" s="387">
        <f t="shared" si="17"/>
        <v>0</v>
      </c>
    </row>
    <row r="406" spans="1:5" ht="15.65" x14ac:dyDescent="0.3">
      <c r="A406" s="339" t="s">
        <v>235</v>
      </c>
      <c r="B406" s="339" t="s">
        <v>267</v>
      </c>
      <c r="C406" s="82">
        <v>630000</v>
      </c>
      <c r="D406" s="387">
        <f t="shared" si="17"/>
        <v>661500</v>
      </c>
      <c r="E406" s="387">
        <f t="shared" si="17"/>
        <v>694575</v>
      </c>
    </row>
    <row r="407" spans="1:5" ht="15.65" x14ac:dyDescent="0.3">
      <c r="A407" s="339" t="s">
        <v>144</v>
      </c>
      <c r="B407" s="339" t="s">
        <v>64</v>
      </c>
      <c r="C407" s="82">
        <v>806400</v>
      </c>
      <c r="D407" s="387">
        <f t="shared" si="17"/>
        <v>846720</v>
      </c>
      <c r="E407" s="387">
        <f t="shared" si="17"/>
        <v>889056</v>
      </c>
    </row>
    <row r="408" spans="1:5" ht="31.25" x14ac:dyDescent="0.3">
      <c r="A408" s="339" t="s">
        <v>145</v>
      </c>
      <c r="B408" s="339" t="s">
        <v>65</v>
      </c>
      <c r="C408" s="82">
        <v>0</v>
      </c>
      <c r="D408" s="387">
        <f t="shared" si="17"/>
        <v>0</v>
      </c>
      <c r="E408" s="387">
        <f t="shared" si="17"/>
        <v>0</v>
      </c>
    </row>
    <row r="409" spans="1:5" ht="15.65" x14ac:dyDescent="0.3">
      <c r="A409" s="339" t="s">
        <v>286</v>
      </c>
      <c r="B409" s="339" t="s">
        <v>69</v>
      </c>
      <c r="C409" s="82">
        <v>0</v>
      </c>
      <c r="D409" s="387">
        <f t="shared" si="17"/>
        <v>0</v>
      </c>
      <c r="E409" s="387">
        <f t="shared" si="17"/>
        <v>0</v>
      </c>
    </row>
    <row r="410" spans="1:5" ht="15.65" x14ac:dyDescent="0.3">
      <c r="A410" s="339">
        <v>2410104</v>
      </c>
      <c r="B410" s="391" t="s">
        <v>268</v>
      </c>
      <c r="C410" s="82">
        <v>0</v>
      </c>
      <c r="D410" s="387">
        <f t="shared" si="17"/>
        <v>0</v>
      </c>
      <c r="E410" s="387">
        <f t="shared" si="17"/>
        <v>0</v>
      </c>
    </row>
    <row r="411" spans="1:5" ht="31.25" x14ac:dyDescent="0.3">
      <c r="A411" s="335" t="s">
        <v>237</v>
      </c>
      <c r="B411" s="335" t="s">
        <v>71</v>
      </c>
      <c r="C411" s="366">
        <v>472500</v>
      </c>
      <c r="D411" s="390">
        <f t="shared" si="17"/>
        <v>496125</v>
      </c>
      <c r="E411" s="390">
        <f t="shared" si="17"/>
        <v>520931.25</v>
      </c>
    </row>
    <row r="412" spans="1:5" ht="15.65" x14ac:dyDescent="0.3">
      <c r="A412" s="339" t="s">
        <v>148</v>
      </c>
      <c r="B412" s="339" t="s">
        <v>72</v>
      </c>
      <c r="C412" s="82">
        <v>672500</v>
      </c>
      <c r="D412" s="387">
        <f t="shared" si="17"/>
        <v>706125</v>
      </c>
      <c r="E412" s="387">
        <f t="shared" si="17"/>
        <v>741431.25</v>
      </c>
    </row>
    <row r="413" spans="1:5" ht="15.65" x14ac:dyDescent="0.3">
      <c r="A413" s="335" t="s">
        <v>238</v>
      </c>
      <c r="B413" s="335" t="s">
        <v>73</v>
      </c>
      <c r="C413" s="86">
        <f>C414+C415+C416+C417+C418</f>
        <v>7445354</v>
      </c>
      <c r="D413" s="387">
        <f t="shared" si="17"/>
        <v>7817621.7000000002</v>
      </c>
      <c r="E413" s="387">
        <f t="shared" si="17"/>
        <v>8208502.7850000001</v>
      </c>
    </row>
    <row r="414" spans="1:5" ht="31.25" x14ac:dyDescent="0.3">
      <c r="A414" s="339" t="s">
        <v>269</v>
      </c>
      <c r="B414" s="389" t="s">
        <v>74</v>
      </c>
      <c r="C414" s="82">
        <v>1638000</v>
      </c>
      <c r="D414" s="387">
        <f t="shared" si="17"/>
        <v>1719900</v>
      </c>
      <c r="E414" s="387">
        <f t="shared" si="17"/>
        <v>1805895</v>
      </c>
    </row>
    <row r="415" spans="1:5" ht="15.65" x14ac:dyDescent="0.3">
      <c r="A415" s="339" t="s">
        <v>270</v>
      </c>
      <c r="B415" s="389" t="s">
        <v>75</v>
      </c>
      <c r="C415" s="82">
        <v>105000</v>
      </c>
      <c r="D415" s="387">
        <f t="shared" si="17"/>
        <v>110250</v>
      </c>
      <c r="E415" s="387">
        <f t="shared" si="17"/>
        <v>115762.5</v>
      </c>
    </row>
    <row r="416" spans="1:5" ht="15.65" x14ac:dyDescent="0.3">
      <c r="A416" s="339" t="s">
        <v>239</v>
      </c>
      <c r="B416" s="389" t="s">
        <v>240</v>
      </c>
      <c r="C416" s="82">
        <v>2045925</v>
      </c>
      <c r="D416" s="387">
        <f t="shared" si="17"/>
        <v>2148221.25</v>
      </c>
      <c r="E416" s="387">
        <f t="shared" si="17"/>
        <v>2255632.3125</v>
      </c>
    </row>
    <row r="417" spans="1:5" ht="15.65" x14ac:dyDescent="0.3">
      <c r="A417" s="339" t="s">
        <v>241</v>
      </c>
      <c r="B417" s="389" t="s">
        <v>76</v>
      </c>
      <c r="C417" s="82">
        <v>3509429</v>
      </c>
      <c r="D417" s="387">
        <f t="shared" si="17"/>
        <v>3684900.45</v>
      </c>
      <c r="E417" s="387">
        <f t="shared" si="17"/>
        <v>3869145.4725000001</v>
      </c>
    </row>
    <row r="418" spans="1:5" ht="15.65" x14ac:dyDescent="0.3">
      <c r="A418" s="339" t="s">
        <v>242</v>
      </c>
      <c r="B418" s="389" t="s">
        <v>77</v>
      </c>
      <c r="C418" s="82">
        <v>147000</v>
      </c>
      <c r="D418" s="387">
        <f t="shared" si="17"/>
        <v>154350</v>
      </c>
      <c r="E418" s="387">
        <f t="shared" si="17"/>
        <v>162067.5</v>
      </c>
    </row>
    <row r="419" spans="1:5" ht="15.65" x14ac:dyDescent="0.3">
      <c r="A419" s="335">
        <v>3110900</v>
      </c>
      <c r="B419" s="335" t="s">
        <v>271</v>
      </c>
      <c r="C419" s="86">
        <f>C420</f>
        <v>210050</v>
      </c>
      <c r="D419" s="387">
        <f t="shared" si="17"/>
        <v>220552.5</v>
      </c>
      <c r="E419" s="387">
        <f t="shared" si="17"/>
        <v>231580.125</v>
      </c>
    </row>
    <row r="420" spans="1:5" ht="15.65" x14ac:dyDescent="0.3">
      <c r="A420" s="339" t="s">
        <v>272</v>
      </c>
      <c r="B420" s="339" t="s">
        <v>273</v>
      </c>
      <c r="C420" s="82">
        <v>210050</v>
      </c>
      <c r="D420" s="387">
        <f t="shared" si="17"/>
        <v>220552.5</v>
      </c>
      <c r="E420" s="387">
        <f t="shared" si="17"/>
        <v>231580.125</v>
      </c>
    </row>
    <row r="421" spans="1:5" ht="15.65" x14ac:dyDescent="0.3">
      <c r="A421" s="335" t="s">
        <v>274</v>
      </c>
      <c r="B421" s="335" t="s">
        <v>82</v>
      </c>
      <c r="C421" s="82">
        <v>0</v>
      </c>
      <c r="D421" s="387">
        <f t="shared" si="17"/>
        <v>0</v>
      </c>
      <c r="E421" s="387">
        <f t="shared" si="17"/>
        <v>0</v>
      </c>
    </row>
    <row r="422" spans="1:5" ht="15.65" x14ac:dyDescent="0.3">
      <c r="A422" s="339" t="s">
        <v>153</v>
      </c>
      <c r="B422" s="339" t="s">
        <v>83</v>
      </c>
      <c r="C422" s="82">
        <v>0</v>
      </c>
      <c r="D422" s="387">
        <f t="shared" si="17"/>
        <v>0</v>
      </c>
      <c r="E422" s="387">
        <f t="shared" si="17"/>
        <v>0</v>
      </c>
    </row>
    <row r="423" spans="1:5" ht="15.65" x14ac:dyDescent="0.3">
      <c r="A423" s="339" t="s">
        <v>275</v>
      </c>
      <c r="B423" s="339" t="s">
        <v>84</v>
      </c>
      <c r="C423" s="82">
        <v>0</v>
      </c>
      <c r="D423" s="387">
        <f t="shared" si="17"/>
        <v>0</v>
      </c>
      <c r="E423" s="387">
        <f t="shared" si="17"/>
        <v>0</v>
      </c>
    </row>
    <row r="424" spans="1:5" ht="15.65" x14ac:dyDescent="0.3">
      <c r="A424" s="339" t="s">
        <v>276</v>
      </c>
      <c r="B424" s="339" t="s">
        <v>277</v>
      </c>
      <c r="C424" s="82">
        <v>0</v>
      </c>
      <c r="D424" s="387">
        <f t="shared" si="17"/>
        <v>0</v>
      </c>
      <c r="E424" s="387">
        <f t="shared" si="17"/>
        <v>0</v>
      </c>
    </row>
    <row r="425" spans="1:5" ht="15.65" x14ac:dyDescent="0.3">
      <c r="A425" s="335" t="s">
        <v>278</v>
      </c>
      <c r="B425" s="335" t="s">
        <v>279</v>
      </c>
      <c r="C425" s="86">
        <f>C426+C427</f>
        <v>315004</v>
      </c>
      <c r="D425" s="386">
        <f t="shared" si="17"/>
        <v>330754.2</v>
      </c>
      <c r="E425" s="386">
        <f t="shared" si="17"/>
        <v>347291.91000000003</v>
      </c>
    </row>
    <row r="426" spans="1:5" ht="15.65" x14ac:dyDescent="0.3">
      <c r="A426" s="339" t="s">
        <v>280</v>
      </c>
      <c r="B426" s="339" t="s">
        <v>281</v>
      </c>
      <c r="C426" s="82">
        <v>0</v>
      </c>
      <c r="D426" s="387">
        <f t="shared" si="17"/>
        <v>0</v>
      </c>
      <c r="E426" s="387">
        <f t="shared" si="17"/>
        <v>0</v>
      </c>
    </row>
    <row r="427" spans="1:5" ht="31.25" x14ac:dyDescent="0.3">
      <c r="A427" s="339" t="s">
        <v>282</v>
      </c>
      <c r="B427" s="339" t="s">
        <v>283</v>
      </c>
      <c r="C427" s="82">
        <v>315004</v>
      </c>
      <c r="D427" s="387">
        <f t="shared" si="17"/>
        <v>330754.2</v>
      </c>
      <c r="E427" s="387">
        <f t="shared" si="17"/>
        <v>347291.91000000003</v>
      </c>
    </row>
    <row r="428" spans="1:5" ht="15.65" x14ac:dyDescent="0.3">
      <c r="A428" s="339">
        <v>3111403</v>
      </c>
      <c r="B428" s="339" t="s">
        <v>284</v>
      </c>
      <c r="C428" s="82">
        <v>0</v>
      </c>
      <c r="D428" s="387">
        <f t="shared" si="17"/>
        <v>0</v>
      </c>
      <c r="E428" s="387">
        <f t="shared" si="17"/>
        <v>0</v>
      </c>
    </row>
    <row r="429" spans="1:5" ht="15.65" x14ac:dyDescent="0.3">
      <c r="A429" s="335"/>
      <c r="B429" s="335" t="s">
        <v>287</v>
      </c>
      <c r="C429" s="392">
        <f>C357+C360+C364+C372+C382+C387+C397+C401+C404+C411+C413+C419+C425</f>
        <v>34719019.049999997</v>
      </c>
      <c r="D429" s="386">
        <f t="shared" si="17"/>
        <v>36454970.002499998</v>
      </c>
      <c r="E429" s="386">
        <f t="shared" si="17"/>
        <v>38277718.502624996</v>
      </c>
    </row>
    <row r="430" spans="1:5" ht="15.65" x14ac:dyDescent="0.3">
      <c r="A430" s="335"/>
      <c r="B430" s="335"/>
      <c r="C430" s="82">
        <v>0</v>
      </c>
      <c r="D430" s="392"/>
      <c r="E430" s="341">
        <f t="shared" ref="E430" si="18">C430+D430</f>
        <v>0</v>
      </c>
    </row>
    <row r="431" spans="1:5" ht="15.65" x14ac:dyDescent="0.3">
      <c r="A431" s="335"/>
      <c r="B431" s="335" t="s">
        <v>897</v>
      </c>
      <c r="C431" s="392"/>
      <c r="D431" s="82"/>
      <c r="E431" s="82"/>
    </row>
    <row r="432" spans="1:5" ht="15.65" x14ac:dyDescent="0.3">
      <c r="A432" s="339">
        <v>3110599</v>
      </c>
      <c r="B432" s="393" t="s">
        <v>699</v>
      </c>
      <c r="C432" s="392">
        <v>0</v>
      </c>
      <c r="D432" s="392">
        <v>0</v>
      </c>
      <c r="E432" s="392">
        <v>0</v>
      </c>
    </row>
    <row r="433" spans="1:5" ht="15.65" x14ac:dyDescent="0.3">
      <c r="A433" s="76">
        <v>3110504</v>
      </c>
      <c r="B433" s="147" t="s">
        <v>583</v>
      </c>
      <c r="C433" s="392">
        <v>0</v>
      </c>
      <c r="D433" s="392">
        <v>0</v>
      </c>
      <c r="E433" s="392">
        <v>0</v>
      </c>
    </row>
    <row r="434" spans="1:5" ht="15.65" x14ac:dyDescent="0.3">
      <c r="A434" s="347" t="s">
        <v>272</v>
      </c>
      <c r="B434" s="357" t="s">
        <v>273</v>
      </c>
      <c r="C434" s="392">
        <v>0</v>
      </c>
      <c r="D434" s="392">
        <v>0</v>
      </c>
      <c r="E434" s="392">
        <v>0</v>
      </c>
    </row>
    <row r="435" spans="1:5" ht="15.65" x14ac:dyDescent="0.3">
      <c r="A435" s="76">
        <v>2410104</v>
      </c>
      <c r="B435" s="147" t="s">
        <v>749</v>
      </c>
      <c r="C435" s="392">
        <v>0</v>
      </c>
      <c r="D435" s="392">
        <v>0</v>
      </c>
      <c r="E435" s="392">
        <v>0</v>
      </c>
    </row>
    <row r="436" spans="1:5" ht="15.65" x14ac:dyDescent="0.3">
      <c r="A436" s="339">
        <v>2410104</v>
      </c>
      <c r="B436" s="339" t="s">
        <v>245</v>
      </c>
      <c r="C436" s="392">
        <v>0</v>
      </c>
      <c r="D436" s="392">
        <v>0</v>
      </c>
      <c r="E436" s="392">
        <v>0</v>
      </c>
    </row>
    <row r="437" spans="1:5" ht="31.25" x14ac:dyDescent="0.3">
      <c r="A437" s="339"/>
      <c r="B437" s="335" t="s">
        <v>900</v>
      </c>
      <c r="C437" s="392">
        <v>0</v>
      </c>
      <c r="D437" s="392">
        <v>0</v>
      </c>
      <c r="E437" s="392">
        <v>0</v>
      </c>
    </row>
    <row r="438" spans="1:5" ht="46.75" x14ac:dyDescent="0.3">
      <c r="A438" s="339"/>
      <c r="B438" s="335" t="s">
        <v>901</v>
      </c>
      <c r="C438" s="337">
        <f>C429+C437</f>
        <v>34719019.049999997</v>
      </c>
      <c r="D438" s="386">
        <f t="shared" ref="D438:E438" si="19">C438*1.05</f>
        <v>36454970.002499998</v>
      </c>
      <c r="E438" s="386">
        <f t="shared" si="19"/>
        <v>38277718.502624996</v>
      </c>
    </row>
    <row r="439" spans="1:5" ht="15.65" x14ac:dyDescent="0.3">
      <c r="A439" s="339"/>
      <c r="B439" s="339"/>
      <c r="C439" s="342"/>
      <c r="D439" s="82"/>
      <c r="E439" s="82"/>
    </row>
    <row r="440" spans="1:5" ht="31.25" x14ac:dyDescent="0.3">
      <c r="A440" s="78"/>
      <c r="B440" s="78" t="s">
        <v>288</v>
      </c>
      <c r="C440" s="79" t="s">
        <v>184</v>
      </c>
      <c r="D440" s="79" t="s">
        <v>746</v>
      </c>
      <c r="E440" s="79" t="s">
        <v>791</v>
      </c>
    </row>
    <row r="441" spans="1:5" ht="15.65" x14ac:dyDescent="0.3">
      <c r="A441" s="78"/>
      <c r="B441" s="78" t="s">
        <v>902</v>
      </c>
      <c r="C441" s="79"/>
      <c r="D441" s="79"/>
      <c r="E441" s="79"/>
    </row>
    <row r="442" spans="1:5" ht="15.65" x14ac:dyDescent="0.3">
      <c r="A442" s="80" t="s">
        <v>185</v>
      </c>
      <c r="B442" s="80" t="s">
        <v>186</v>
      </c>
      <c r="C442" s="81">
        <f>C443</f>
        <v>0</v>
      </c>
      <c r="D442" s="82"/>
      <c r="E442" s="82"/>
    </row>
    <row r="443" spans="1:5" ht="15.65" x14ac:dyDescent="0.3">
      <c r="A443" s="83" t="s">
        <v>98</v>
      </c>
      <c r="B443" s="83" t="s">
        <v>99</v>
      </c>
      <c r="C443" s="81">
        <v>0</v>
      </c>
      <c r="D443" s="82"/>
      <c r="E443" s="82"/>
    </row>
    <row r="444" spans="1:5" ht="15.65" x14ac:dyDescent="0.3">
      <c r="A444" s="80" t="s">
        <v>3</v>
      </c>
      <c r="B444" s="80" t="s">
        <v>4</v>
      </c>
      <c r="C444" s="78">
        <f>C445</f>
        <v>0</v>
      </c>
      <c r="D444" s="82"/>
      <c r="E444" s="82"/>
    </row>
    <row r="445" spans="1:5" ht="15.65" x14ac:dyDescent="0.3">
      <c r="A445" s="83" t="s">
        <v>5</v>
      </c>
      <c r="B445" s="83" t="s">
        <v>6</v>
      </c>
      <c r="C445" s="81">
        <v>0</v>
      </c>
      <c r="D445" s="82"/>
      <c r="E445" s="82"/>
    </row>
    <row r="446" spans="1:5" ht="15.65" x14ac:dyDescent="0.3">
      <c r="A446" s="80" t="s">
        <v>289</v>
      </c>
      <c r="B446" s="80" t="s">
        <v>290</v>
      </c>
      <c r="C446" s="81">
        <f>C447+C448</f>
        <v>0</v>
      </c>
      <c r="D446" s="82"/>
      <c r="E446" s="82"/>
    </row>
    <row r="447" spans="1:5" ht="15.65" x14ac:dyDescent="0.3">
      <c r="A447" s="83" t="s">
        <v>291</v>
      </c>
      <c r="B447" s="83" t="s">
        <v>10</v>
      </c>
      <c r="C447" s="81">
        <v>0</v>
      </c>
      <c r="D447" s="82"/>
      <c r="E447" s="82"/>
    </row>
    <row r="448" spans="1:5" ht="15.65" x14ac:dyDescent="0.3">
      <c r="A448" s="83" t="s">
        <v>292</v>
      </c>
      <c r="B448" s="83" t="s">
        <v>293</v>
      </c>
      <c r="C448" s="81">
        <v>0</v>
      </c>
      <c r="D448" s="82"/>
      <c r="E448" s="82"/>
    </row>
    <row r="449" spans="1:5" ht="15.65" x14ac:dyDescent="0.3">
      <c r="A449" s="80" t="s">
        <v>294</v>
      </c>
      <c r="B449" s="80" t="s">
        <v>295</v>
      </c>
      <c r="C449" s="81">
        <v>0</v>
      </c>
      <c r="D449" s="82"/>
      <c r="E449" s="82"/>
    </row>
    <row r="450" spans="1:5" ht="15.65" x14ac:dyDescent="0.3">
      <c r="A450" s="80">
        <v>2410104</v>
      </c>
      <c r="B450" s="84" t="s">
        <v>268</v>
      </c>
      <c r="C450" s="78">
        <v>0</v>
      </c>
      <c r="D450" s="82"/>
      <c r="E450" s="82"/>
    </row>
    <row r="451" spans="1:5" ht="15.65" x14ac:dyDescent="0.3">
      <c r="A451" s="80" t="s">
        <v>192</v>
      </c>
      <c r="B451" s="80" t="s">
        <v>23</v>
      </c>
      <c r="C451" s="85">
        <f>C452+C453</f>
        <v>891039</v>
      </c>
      <c r="D451" s="86">
        <f t="shared" ref="D451:E516" si="20">C451*1.05</f>
        <v>935590.95000000007</v>
      </c>
      <c r="E451" s="86">
        <f t="shared" si="20"/>
        <v>982370.49750000017</v>
      </c>
    </row>
    <row r="452" spans="1:5" ht="15.65" x14ac:dyDescent="0.3">
      <c r="A452" s="83" t="s">
        <v>101</v>
      </c>
      <c r="B452" s="83" t="s">
        <v>102</v>
      </c>
      <c r="C452" s="394">
        <v>712987</v>
      </c>
      <c r="D452" s="82">
        <f t="shared" si="20"/>
        <v>748636.35</v>
      </c>
      <c r="E452" s="82">
        <f t="shared" si="20"/>
        <v>786068.16749999998</v>
      </c>
    </row>
    <row r="453" spans="1:5" ht="15.65" x14ac:dyDescent="0.3">
      <c r="A453" s="83" t="s">
        <v>103</v>
      </c>
      <c r="B453" s="83" t="s">
        <v>104</v>
      </c>
      <c r="C453" s="394">
        <v>178052</v>
      </c>
      <c r="D453" s="82">
        <f t="shared" si="20"/>
        <v>186954.6</v>
      </c>
      <c r="E453" s="82">
        <f t="shared" si="20"/>
        <v>196302.33000000002</v>
      </c>
    </row>
    <row r="454" spans="1:5" ht="15.65" x14ac:dyDescent="0.3">
      <c r="A454" s="80" t="s">
        <v>193</v>
      </c>
      <c r="B454" s="80" t="s">
        <v>194</v>
      </c>
      <c r="C454" s="85">
        <f>C455+C456+C457</f>
        <v>186620</v>
      </c>
      <c r="D454" s="86">
        <f t="shared" si="20"/>
        <v>195951</v>
      </c>
      <c r="E454" s="86">
        <f t="shared" si="20"/>
        <v>205748.55000000002</v>
      </c>
    </row>
    <row r="455" spans="1:5" ht="15.65" x14ac:dyDescent="0.3">
      <c r="A455" s="83">
        <v>2210201</v>
      </c>
      <c r="B455" s="83" t="s">
        <v>106</v>
      </c>
      <c r="C455" s="394">
        <v>100843</v>
      </c>
      <c r="D455" s="82">
        <f t="shared" si="20"/>
        <v>105885.15000000001</v>
      </c>
      <c r="E455" s="82">
        <f t="shared" si="20"/>
        <v>111179.40750000002</v>
      </c>
    </row>
    <row r="456" spans="1:5" ht="15.65" x14ac:dyDescent="0.3">
      <c r="A456" s="83" t="s">
        <v>107</v>
      </c>
      <c r="B456" s="83" t="s">
        <v>108</v>
      </c>
      <c r="C456" s="394">
        <v>33299</v>
      </c>
      <c r="D456" s="82">
        <f t="shared" si="20"/>
        <v>34963.950000000004</v>
      </c>
      <c r="E456" s="82">
        <f t="shared" si="20"/>
        <v>36712.147500000006</v>
      </c>
    </row>
    <row r="457" spans="1:5" ht="15.65" x14ac:dyDescent="0.3">
      <c r="A457" s="83" t="s">
        <v>109</v>
      </c>
      <c r="B457" s="83" t="s">
        <v>29</v>
      </c>
      <c r="C457" s="394">
        <v>52478</v>
      </c>
      <c r="D457" s="82">
        <f t="shared" si="20"/>
        <v>55101.9</v>
      </c>
      <c r="E457" s="82">
        <f t="shared" si="20"/>
        <v>57856.995000000003</v>
      </c>
    </row>
    <row r="458" spans="1:5" ht="31.25" x14ac:dyDescent="0.3">
      <c r="A458" s="80" t="s">
        <v>195</v>
      </c>
      <c r="B458" s="80" t="s">
        <v>30</v>
      </c>
      <c r="C458" s="85">
        <f>C459+C460+C461</f>
        <v>577428</v>
      </c>
      <c r="D458" s="366">
        <f t="shared" si="20"/>
        <v>606299.4</v>
      </c>
      <c r="E458" s="366">
        <f t="shared" si="20"/>
        <v>636614.37</v>
      </c>
    </row>
    <row r="459" spans="1:5" ht="31.25" x14ac:dyDescent="0.3">
      <c r="A459" s="83" t="s">
        <v>110</v>
      </c>
      <c r="B459" s="83" t="s">
        <v>111</v>
      </c>
      <c r="C459" s="394">
        <v>94773</v>
      </c>
      <c r="D459" s="82">
        <f t="shared" si="20"/>
        <v>99511.650000000009</v>
      </c>
      <c r="E459" s="82">
        <f t="shared" si="20"/>
        <v>104487.23250000001</v>
      </c>
    </row>
    <row r="460" spans="1:5" ht="15.65" x14ac:dyDescent="0.3">
      <c r="A460" s="83" t="s">
        <v>112</v>
      </c>
      <c r="B460" s="83" t="s">
        <v>113</v>
      </c>
      <c r="C460" s="394">
        <v>379319</v>
      </c>
      <c r="D460" s="82">
        <f t="shared" si="20"/>
        <v>398284.95</v>
      </c>
      <c r="E460" s="82">
        <f t="shared" si="20"/>
        <v>418199.19750000001</v>
      </c>
    </row>
    <row r="461" spans="1:5" ht="15.65" x14ac:dyDescent="0.3">
      <c r="A461" s="83" t="s">
        <v>114</v>
      </c>
      <c r="B461" s="83" t="s">
        <v>115</v>
      </c>
      <c r="C461" s="394">
        <v>103336</v>
      </c>
      <c r="D461" s="82">
        <f t="shared" si="20"/>
        <v>108502.8</v>
      </c>
      <c r="E461" s="82">
        <f t="shared" si="20"/>
        <v>113927.94</v>
      </c>
    </row>
    <row r="462" spans="1:5" ht="31.25" x14ac:dyDescent="0.3">
      <c r="A462" s="80" t="s">
        <v>117</v>
      </c>
      <c r="B462" s="80" t="s">
        <v>118</v>
      </c>
      <c r="C462" s="85">
        <v>0</v>
      </c>
      <c r="D462" s="82">
        <f t="shared" si="20"/>
        <v>0</v>
      </c>
      <c r="E462" s="82">
        <f t="shared" si="20"/>
        <v>0</v>
      </c>
    </row>
    <row r="463" spans="1:5" ht="15.65" x14ac:dyDescent="0.3">
      <c r="A463" s="83" t="s">
        <v>119</v>
      </c>
      <c r="B463" s="83" t="s">
        <v>120</v>
      </c>
      <c r="C463" s="88">
        <v>0</v>
      </c>
      <c r="D463" s="82">
        <f t="shared" si="20"/>
        <v>0</v>
      </c>
      <c r="E463" s="82">
        <f t="shared" si="20"/>
        <v>0</v>
      </c>
    </row>
    <row r="464" spans="1:5" ht="15.65" x14ac:dyDescent="0.3">
      <c r="A464" s="83" t="s">
        <v>197</v>
      </c>
      <c r="B464" s="83" t="s">
        <v>198</v>
      </c>
      <c r="C464" s="88">
        <v>0</v>
      </c>
      <c r="D464" s="82">
        <f t="shared" si="20"/>
        <v>0</v>
      </c>
      <c r="E464" s="82">
        <f t="shared" si="20"/>
        <v>0</v>
      </c>
    </row>
    <row r="465" spans="1:5" ht="15.65" x14ac:dyDescent="0.3">
      <c r="A465" s="83" t="s">
        <v>121</v>
      </c>
      <c r="B465" s="83" t="s">
        <v>115</v>
      </c>
      <c r="C465" s="88">
        <v>0</v>
      </c>
      <c r="D465" s="82">
        <f t="shared" si="20"/>
        <v>0</v>
      </c>
      <c r="E465" s="82">
        <f t="shared" si="20"/>
        <v>0</v>
      </c>
    </row>
    <row r="466" spans="1:5" ht="31.25" x14ac:dyDescent="0.3">
      <c r="A466" s="80" t="s">
        <v>199</v>
      </c>
      <c r="B466" s="80" t="s">
        <v>38</v>
      </c>
      <c r="C466" s="85">
        <f>C467+C468+C469</f>
        <v>92807</v>
      </c>
      <c r="D466" s="82">
        <f t="shared" si="20"/>
        <v>97447.35</v>
      </c>
      <c r="E466" s="82">
        <f t="shared" si="20"/>
        <v>102319.71750000001</v>
      </c>
    </row>
    <row r="467" spans="1:5" ht="15.65" x14ac:dyDescent="0.3">
      <c r="A467" s="83" t="s">
        <v>200</v>
      </c>
      <c r="B467" s="83" t="s">
        <v>201</v>
      </c>
      <c r="C467" s="394">
        <v>92807</v>
      </c>
      <c r="D467" s="82">
        <f t="shared" si="20"/>
        <v>97447.35</v>
      </c>
      <c r="E467" s="82">
        <f t="shared" si="20"/>
        <v>102319.71750000001</v>
      </c>
    </row>
    <row r="468" spans="1:5" ht="15.65" x14ac:dyDescent="0.3">
      <c r="A468" s="83" t="s">
        <v>122</v>
      </c>
      <c r="B468" s="83" t="s">
        <v>123</v>
      </c>
      <c r="C468" s="88">
        <v>0</v>
      </c>
      <c r="D468" s="82">
        <f t="shared" si="20"/>
        <v>0</v>
      </c>
      <c r="E468" s="82">
        <f t="shared" si="20"/>
        <v>0</v>
      </c>
    </row>
    <row r="469" spans="1:5" ht="15.65" x14ac:dyDescent="0.3">
      <c r="A469" s="83" t="s">
        <v>124</v>
      </c>
      <c r="B469" s="83" t="s">
        <v>125</v>
      </c>
      <c r="C469" s="88">
        <v>0</v>
      </c>
      <c r="D469" s="82">
        <f t="shared" si="20"/>
        <v>0</v>
      </c>
      <c r="E469" s="82">
        <f t="shared" si="20"/>
        <v>0</v>
      </c>
    </row>
    <row r="470" spans="1:5" ht="15.65" x14ac:dyDescent="0.3">
      <c r="A470" s="83" t="s">
        <v>202</v>
      </c>
      <c r="B470" s="83" t="s">
        <v>41</v>
      </c>
      <c r="C470" s="82"/>
      <c r="D470" s="82">
        <f t="shared" si="20"/>
        <v>0</v>
      </c>
      <c r="E470" s="82">
        <f t="shared" si="20"/>
        <v>0</v>
      </c>
    </row>
    <row r="471" spans="1:5" ht="15.65" x14ac:dyDescent="0.3">
      <c r="A471" s="80" t="s">
        <v>259</v>
      </c>
      <c r="B471" s="80" t="s">
        <v>42</v>
      </c>
      <c r="C471" s="88">
        <f>C472</f>
        <v>0</v>
      </c>
      <c r="D471" s="82">
        <f t="shared" si="20"/>
        <v>0</v>
      </c>
      <c r="E471" s="82">
        <f t="shared" si="20"/>
        <v>0</v>
      </c>
    </row>
    <row r="472" spans="1:5" ht="15.65" x14ac:dyDescent="0.3">
      <c r="A472" s="83" t="s">
        <v>260</v>
      </c>
      <c r="B472" s="83" t="s">
        <v>43</v>
      </c>
      <c r="C472" s="88">
        <v>0</v>
      </c>
      <c r="D472" s="82">
        <f t="shared" si="20"/>
        <v>0</v>
      </c>
      <c r="E472" s="82">
        <f t="shared" si="20"/>
        <v>0</v>
      </c>
    </row>
    <row r="473" spans="1:5" ht="15.65" x14ac:dyDescent="0.3">
      <c r="A473" s="80" t="s">
        <v>203</v>
      </c>
      <c r="B473" s="80" t="s">
        <v>45</v>
      </c>
      <c r="C473" s="85">
        <f>C474+C475</f>
        <v>0</v>
      </c>
      <c r="D473" s="82">
        <f t="shared" si="20"/>
        <v>0</v>
      </c>
      <c r="E473" s="82">
        <f t="shared" si="20"/>
        <v>0</v>
      </c>
    </row>
    <row r="474" spans="1:5" ht="15.65" x14ac:dyDescent="0.3">
      <c r="A474" s="83" t="s">
        <v>127</v>
      </c>
      <c r="B474" s="83" t="s">
        <v>128</v>
      </c>
      <c r="C474" s="88"/>
      <c r="D474" s="82">
        <f t="shared" si="20"/>
        <v>0</v>
      </c>
      <c r="E474" s="82">
        <f t="shared" si="20"/>
        <v>0</v>
      </c>
    </row>
    <row r="475" spans="1:5" ht="15.65" x14ac:dyDescent="0.3">
      <c r="A475" s="83" t="s">
        <v>129</v>
      </c>
      <c r="B475" s="83" t="s">
        <v>130</v>
      </c>
      <c r="C475" s="88"/>
      <c r="D475" s="82">
        <f t="shared" si="20"/>
        <v>0</v>
      </c>
      <c r="E475" s="82">
        <f t="shared" si="20"/>
        <v>0</v>
      </c>
    </row>
    <row r="476" spans="1:5" ht="15.65" x14ac:dyDescent="0.3">
      <c r="A476" s="80" t="s">
        <v>205</v>
      </c>
      <c r="B476" s="80" t="s">
        <v>48</v>
      </c>
      <c r="C476" s="85">
        <f>C477+C478</f>
        <v>833024</v>
      </c>
      <c r="D476" s="86">
        <f t="shared" si="20"/>
        <v>874675.20000000007</v>
      </c>
      <c r="E476" s="86">
        <f t="shared" si="20"/>
        <v>918408.96000000008</v>
      </c>
    </row>
    <row r="477" spans="1:5" ht="31.25" x14ac:dyDescent="0.3">
      <c r="A477" s="83" t="s">
        <v>131</v>
      </c>
      <c r="B477" s="83" t="s">
        <v>206</v>
      </c>
      <c r="C477" s="394">
        <v>174422</v>
      </c>
      <c r="D477" s="82">
        <f t="shared" si="20"/>
        <v>183143.1</v>
      </c>
      <c r="E477" s="82">
        <f t="shared" si="20"/>
        <v>192300.255</v>
      </c>
    </row>
    <row r="478" spans="1:5" ht="15.65" x14ac:dyDescent="0.3">
      <c r="A478" s="83" t="s">
        <v>133</v>
      </c>
      <c r="B478" s="83" t="s">
        <v>207</v>
      </c>
      <c r="C478" s="394">
        <v>658602</v>
      </c>
      <c r="D478" s="82">
        <f t="shared" si="20"/>
        <v>691532.1</v>
      </c>
      <c r="E478" s="82">
        <f t="shared" si="20"/>
        <v>726108.70499999996</v>
      </c>
    </row>
    <row r="479" spans="1:5" ht="15.65" x14ac:dyDescent="0.3">
      <c r="A479" s="80" t="s">
        <v>208</v>
      </c>
      <c r="B479" s="80" t="s">
        <v>209</v>
      </c>
      <c r="C479" s="82"/>
      <c r="D479" s="82">
        <f t="shared" si="20"/>
        <v>0</v>
      </c>
      <c r="E479" s="82">
        <f t="shared" si="20"/>
        <v>0</v>
      </c>
    </row>
    <row r="480" spans="1:5" ht="15.65" x14ac:dyDescent="0.3">
      <c r="A480" s="83" t="s">
        <v>210</v>
      </c>
      <c r="B480" s="83" t="s">
        <v>66</v>
      </c>
      <c r="C480" s="82"/>
      <c r="D480" s="82">
        <f t="shared" si="20"/>
        <v>0</v>
      </c>
      <c r="E480" s="82">
        <f t="shared" si="20"/>
        <v>0</v>
      </c>
    </row>
    <row r="481" spans="1:5" ht="15.65" x14ac:dyDescent="0.3">
      <c r="A481" s="80" t="s">
        <v>211</v>
      </c>
      <c r="B481" s="80" t="s">
        <v>51</v>
      </c>
      <c r="C481" s="85">
        <f>C482+C483+C484+C485+C486+C487+C488+C489+C490+C491</f>
        <v>11114496</v>
      </c>
      <c r="D481" s="86">
        <f t="shared" si="20"/>
        <v>11670220.800000001</v>
      </c>
      <c r="E481" s="86">
        <f t="shared" si="20"/>
        <v>12253731.840000002</v>
      </c>
    </row>
    <row r="482" spans="1:5" ht="15.65" x14ac:dyDescent="0.3">
      <c r="A482" s="83" t="s">
        <v>212</v>
      </c>
      <c r="B482" s="83" t="s">
        <v>213</v>
      </c>
      <c r="C482" s="394">
        <v>2632141</v>
      </c>
      <c r="D482" s="82">
        <f t="shared" si="20"/>
        <v>2763748.0500000003</v>
      </c>
      <c r="E482" s="82">
        <f t="shared" si="20"/>
        <v>2901935.4525000006</v>
      </c>
    </row>
    <row r="483" spans="1:5" ht="15.65" x14ac:dyDescent="0.3">
      <c r="A483" s="83" t="s">
        <v>214</v>
      </c>
      <c r="B483" s="83" t="s">
        <v>215</v>
      </c>
      <c r="C483" s="394">
        <v>3000000</v>
      </c>
      <c r="D483" s="82">
        <f t="shared" si="20"/>
        <v>3150000</v>
      </c>
      <c r="E483" s="82">
        <f t="shared" si="20"/>
        <v>3307500</v>
      </c>
    </row>
    <row r="484" spans="1:5" ht="15.65" x14ac:dyDescent="0.3">
      <c r="A484" s="83" t="s">
        <v>216</v>
      </c>
      <c r="B484" s="83" t="s">
        <v>217</v>
      </c>
      <c r="C484" s="394">
        <v>50000</v>
      </c>
      <c r="D484" s="82">
        <f t="shared" si="20"/>
        <v>52500</v>
      </c>
      <c r="E484" s="82">
        <f t="shared" si="20"/>
        <v>55125</v>
      </c>
    </row>
    <row r="485" spans="1:5" ht="15.65" x14ac:dyDescent="0.3">
      <c r="A485" s="83" t="s">
        <v>261</v>
      </c>
      <c r="B485" s="83" t="s">
        <v>218</v>
      </c>
      <c r="C485" s="394">
        <v>276843</v>
      </c>
      <c r="D485" s="82">
        <f t="shared" si="20"/>
        <v>290685.15000000002</v>
      </c>
      <c r="E485" s="82">
        <f t="shared" si="20"/>
        <v>305219.40750000003</v>
      </c>
    </row>
    <row r="486" spans="1:5" ht="15.65" x14ac:dyDescent="0.3">
      <c r="A486" s="83" t="s">
        <v>219</v>
      </c>
      <c r="B486" s="83" t="s">
        <v>220</v>
      </c>
      <c r="C486" s="394">
        <v>2068432</v>
      </c>
      <c r="D486" s="86">
        <f t="shared" si="20"/>
        <v>2171853.6</v>
      </c>
      <c r="E486" s="86">
        <f t="shared" si="20"/>
        <v>2280446.2800000003</v>
      </c>
    </row>
    <row r="487" spans="1:5" ht="15.65" x14ac:dyDescent="0.3">
      <c r="A487" s="83" t="s">
        <v>221</v>
      </c>
      <c r="B487" s="83" t="s">
        <v>222</v>
      </c>
      <c r="C487" s="394">
        <v>1932156</v>
      </c>
      <c r="D487" s="82">
        <f t="shared" si="20"/>
        <v>2028763.8</v>
      </c>
      <c r="E487" s="82">
        <f t="shared" si="20"/>
        <v>2130201.9900000002</v>
      </c>
    </row>
    <row r="488" spans="1:5" ht="15.65" x14ac:dyDescent="0.3">
      <c r="A488" s="83" t="s">
        <v>262</v>
      </c>
      <c r="B488" s="83" t="s">
        <v>55</v>
      </c>
      <c r="C488" s="394">
        <v>280502</v>
      </c>
      <c r="D488" s="82">
        <f t="shared" si="20"/>
        <v>294527.10000000003</v>
      </c>
      <c r="E488" s="82">
        <f t="shared" si="20"/>
        <v>309253.45500000007</v>
      </c>
    </row>
    <row r="489" spans="1:5" ht="15.65" x14ac:dyDescent="0.3">
      <c r="A489" s="89">
        <v>2211019</v>
      </c>
      <c r="B489" s="90" t="s">
        <v>251</v>
      </c>
      <c r="C489" s="12">
        <v>0</v>
      </c>
      <c r="D489" s="82">
        <f t="shared" si="20"/>
        <v>0</v>
      </c>
      <c r="E489" s="82">
        <f t="shared" si="20"/>
        <v>0</v>
      </c>
    </row>
    <row r="490" spans="1:5" ht="15.65" x14ac:dyDescent="0.3">
      <c r="A490" s="83" t="s">
        <v>223</v>
      </c>
      <c r="B490" s="83" t="s">
        <v>224</v>
      </c>
      <c r="C490" s="394">
        <v>426843</v>
      </c>
      <c r="D490" s="82">
        <f t="shared" si="20"/>
        <v>448185.15</v>
      </c>
      <c r="E490" s="82">
        <f t="shared" si="20"/>
        <v>470594.40750000003</v>
      </c>
    </row>
    <row r="491" spans="1:5" ht="15.65" x14ac:dyDescent="0.3">
      <c r="A491" s="83" t="s">
        <v>225</v>
      </c>
      <c r="B491" s="83" t="s">
        <v>263</v>
      </c>
      <c r="C491" s="394">
        <v>447579</v>
      </c>
      <c r="D491" s="82">
        <f t="shared" si="20"/>
        <v>469957.95</v>
      </c>
      <c r="E491" s="82">
        <f t="shared" si="20"/>
        <v>493455.84750000003</v>
      </c>
    </row>
    <row r="492" spans="1:5" ht="15.65" x14ac:dyDescent="0.3">
      <c r="A492" s="80" t="s">
        <v>227</v>
      </c>
      <c r="B492" s="80" t="s">
        <v>56</v>
      </c>
      <c r="C492" s="85">
        <f>C493+C494+C495</f>
        <v>1174196</v>
      </c>
      <c r="D492" s="86">
        <f t="shared" si="20"/>
        <v>1232905.8</v>
      </c>
      <c r="E492" s="86">
        <f t="shared" si="20"/>
        <v>1294551.0900000001</v>
      </c>
    </row>
    <row r="493" spans="1:5" ht="31.25" x14ac:dyDescent="0.3">
      <c r="A493" s="83" t="s">
        <v>138</v>
      </c>
      <c r="B493" s="83" t="s">
        <v>228</v>
      </c>
      <c r="C493" s="394">
        <v>446106</v>
      </c>
      <c r="D493" s="82">
        <f t="shared" si="20"/>
        <v>468411.30000000005</v>
      </c>
      <c r="E493" s="82">
        <f t="shared" si="20"/>
        <v>491831.86500000005</v>
      </c>
    </row>
    <row r="494" spans="1:5" ht="15.65" x14ac:dyDescent="0.3">
      <c r="A494" s="83" t="s">
        <v>229</v>
      </c>
      <c r="B494" s="83" t="s">
        <v>58</v>
      </c>
      <c r="C494" s="394">
        <v>348789</v>
      </c>
      <c r="D494" s="82">
        <f t="shared" si="20"/>
        <v>366228.45</v>
      </c>
      <c r="E494" s="82">
        <f t="shared" si="20"/>
        <v>384539.87250000006</v>
      </c>
    </row>
    <row r="495" spans="1:5" ht="15.65" x14ac:dyDescent="0.3">
      <c r="A495" s="83" t="s">
        <v>140</v>
      </c>
      <c r="B495" s="83" t="s">
        <v>230</v>
      </c>
      <c r="C495" s="394">
        <v>379301</v>
      </c>
      <c r="D495" s="82">
        <f t="shared" si="20"/>
        <v>398266.05</v>
      </c>
      <c r="E495" s="82">
        <f t="shared" si="20"/>
        <v>418179.35249999998</v>
      </c>
    </row>
    <row r="496" spans="1:5" ht="15.65" x14ac:dyDescent="0.3">
      <c r="A496" s="80" t="s">
        <v>231</v>
      </c>
      <c r="B496" s="80" t="s">
        <v>60</v>
      </c>
      <c r="C496" s="85">
        <f>C497+C498</f>
        <v>1199842</v>
      </c>
      <c r="D496" s="86">
        <f t="shared" si="20"/>
        <v>1259834.1000000001</v>
      </c>
      <c r="E496" s="86">
        <f t="shared" si="20"/>
        <v>1322825.8050000002</v>
      </c>
    </row>
    <row r="497" spans="1:5" ht="15.65" x14ac:dyDescent="0.3">
      <c r="A497" s="83" t="s">
        <v>142</v>
      </c>
      <c r="B497" s="83" t="s">
        <v>143</v>
      </c>
      <c r="C497" s="394">
        <v>721770</v>
      </c>
      <c r="D497" s="82">
        <f t="shared" si="20"/>
        <v>757858.5</v>
      </c>
      <c r="E497" s="82">
        <f t="shared" si="20"/>
        <v>795751.42500000005</v>
      </c>
    </row>
    <row r="498" spans="1:5" x14ac:dyDescent="0.35">
      <c r="A498" s="83" t="s">
        <v>232</v>
      </c>
      <c r="B498" s="83" t="s">
        <v>264</v>
      </c>
      <c r="C498" s="394">
        <v>478072</v>
      </c>
      <c r="D498" s="82">
        <f t="shared" si="20"/>
        <v>501975.60000000003</v>
      </c>
      <c r="E498" s="82">
        <f t="shared" si="20"/>
        <v>527074.38</v>
      </c>
    </row>
    <row r="499" spans="1:5" ht="15.65" x14ac:dyDescent="0.3">
      <c r="A499" s="80" t="s">
        <v>234</v>
      </c>
      <c r="B499" s="80" t="s">
        <v>62</v>
      </c>
      <c r="C499" s="85">
        <f>C500+C501+C502+C503+C504</f>
        <v>614853</v>
      </c>
      <c r="D499" s="86">
        <f t="shared" si="20"/>
        <v>645595.65</v>
      </c>
      <c r="E499" s="86">
        <f t="shared" si="20"/>
        <v>677875.4325</v>
      </c>
    </row>
    <row r="500" spans="1:5" ht="15.65" x14ac:dyDescent="0.3">
      <c r="A500" s="83" t="s">
        <v>265</v>
      </c>
      <c r="B500" s="83" t="s">
        <v>266</v>
      </c>
      <c r="C500" s="394">
        <v>8709</v>
      </c>
      <c r="D500" s="82">
        <f t="shared" si="20"/>
        <v>9144.4500000000007</v>
      </c>
      <c r="E500" s="82">
        <f t="shared" si="20"/>
        <v>9601.6725000000006</v>
      </c>
    </row>
    <row r="501" spans="1:5" ht="15.65" x14ac:dyDescent="0.3">
      <c r="A501" s="83" t="s">
        <v>235</v>
      </c>
      <c r="B501" s="83" t="s">
        <v>267</v>
      </c>
      <c r="C501" s="394">
        <v>606144</v>
      </c>
      <c r="D501" s="82">
        <f t="shared" si="20"/>
        <v>636451.20000000007</v>
      </c>
      <c r="E501" s="82">
        <f t="shared" si="20"/>
        <v>668273.76000000013</v>
      </c>
    </row>
    <row r="502" spans="1:5" ht="15.65" x14ac:dyDescent="0.3">
      <c r="A502" s="83" t="s">
        <v>144</v>
      </c>
      <c r="B502" s="83" t="s">
        <v>64</v>
      </c>
      <c r="C502" s="88"/>
      <c r="D502" s="82">
        <f t="shared" si="20"/>
        <v>0</v>
      </c>
      <c r="E502" s="82">
        <f t="shared" si="20"/>
        <v>0</v>
      </c>
    </row>
    <row r="503" spans="1:5" ht="31.25" x14ac:dyDescent="0.3">
      <c r="A503" s="83" t="s">
        <v>145</v>
      </c>
      <c r="B503" s="83" t="s">
        <v>65</v>
      </c>
      <c r="C503" s="88"/>
      <c r="D503" s="82">
        <f t="shared" si="20"/>
        <v>0</v>
      </c>
      <c r="E503" s="82">
        <f t="shared" si="20"/>
        <v>0</v>
      </c>
    </row>
    <row r="504" spans="1:5" ht="15.65" x14ac:dyDescent="0.3">
      <c r="A504" s="83" t="s">
        <v>286</v>
      </c>
      <c r="B504" s="83" t="s">
        <v>69</v>
      </c>
      <c r="C504" s="88">
        <v>0</v>
      </c>
      <c r="D504" s="82">
        <f t="shared" si="20"/>
        <v>0</v>
      </c>
      <c r="E504" s="82">
        <f t="shared" si="20"/>
        <v>0</v>
      </c>
    </row>
    <row r="505" spans="1:5" ht="31.25" x14ac:dyDescent="0.3">
      <c r="A505" s="80" t="s">
        <v>237</v>
      </c>
      <c r="B505" s="80" t="s">
        <v>71</v>
      </c>
      <c r="C505" s="91">
        <f>C506</f>
        <v>544669</v>
      </c>
      <c r="D505" s="86">
        <f t="shared" si="20"/>
        <v>571902.45000000007</v>
      </c>
      <c r="E505" s="86">
        <f t="shared" si="20"/>
        <v>600497.57250000013</v>
      </c>
    </row>
    <row r="506" spans="1:5" ht="15.65" x14ac:dyDescent="0.3">
      <c r="A506" s="83" t="s">
        <v>148</v>
      </c>
      <c r="B506" s="83" t="s">
        <v>72</v>
      </c>
      <c r="C506" s="394">
        <v>544669</v>
      </c>
      <c r="D506" s="82">
        <f t="shared" si="20"/>
        <v>571902.45000000007</v>
      </c>
      <c r="E506" s="82">
        <f t="shared" si="20"/>
        <v>600497.57250000013</v>
      </c>
    </row>
    <row r="507" spans="1:5" ht="15.65" x14ac:dyDescent="0.3">
      <c r="A507" s="80" t="s">
        <v>238</v>
      </c>
      <c r="B507" s="80" t="s">
        <v>73</v>
      </c>
      <c r="C507" s="85">
        <f>C508+C509+C510+C511+C512</f>
        <v>2661606</v>
      </c>
      <c r="D507" s="86">
        <f t="shared" si="20"/>
        <v>2794686.3000000003</v>
      </c>
      <c r="E507" s="86">
        <f t="shared" si="20"/>
        <v>2934420.6150000002</v>
      </c>
    </row>
    <row r="508" spans="1:5" ht="31.25" x14ac:dyDescent="0.3">
      <c r="A508" s="83" t="s">
        <v>269</v>
      </c>
      <c r="B508" s="83" t="s">
        <v>74</v>
      </c>
      <c r="C508" s="394">
        <v>287202</v>
      </c>
      <c r="D508" s="82">
        <f t="shared" si="20"/>
        <v>301562.10000000003</v>
      </c>
      <c r="E508" s="82">
        <f t="shared" si="20"/>
        <v>316640.20500000007</v>
      </c>
    </row>
    <row r="509" spans="1:5" ht="15.65" x14ac:dyDescent="0.3">
      <c r="A509" s="83" t="s">
        <v>270</v>
      </c>
      <c r="B509" s="83" t="s">
        <v>75</v>
      </c>
      <c r="C509" s="394">
        <v>73053</v>
      </c>
      <c r="D509" s="82">
        <f t="shared" si="20"/>
        <v>76705.650000000009</v>
      </c>
      <c r="E509" s="82">
        <f t="shared" si="20"/>
        <v>80540.93250000001</v>
      </c>
    </row>
    <row r="510" spans="1:5" ht="15.65" x14ac:dyDescent="0.3">
      <c r="A510" s="83" t="s">
        <v>239</v>
      </c>
      <c r="B510" s="83" t="s">
        <v>240</v>
      </c>
      <c r="C510" s="394">
        <v>564614</v>
      </c>
      <c r="D510" s="82">
        <f t="shared" si="20"/>
        <v>592844.70000000007</v>
      </c>
      <c r="E510" s="82">
        <f t="shared" si="20"/>
        <v>622486.93500000006</v>
      </c>
    </row>
    <row r="511" spans="1:5" ht="15.65" x14ac:dyDescent="0.3">
      <c r="A511" s="83" t="s">
        <v>241</v>
      </c>
      <c r="B511" s="83" t="s">
        <v>76</v>
      </c>
      <c r="C511" s="394">
        <v>1586728</v>
      </c>
      <c r="D511" s="82">
        <f t="shared" si="20"/>
        <v>1666064.4000000001</v>
      </c>
      <c r="E511" s="82">
        <f t="shared" si="20"/>
        <v>1749367.62</v>
      </c>
    </row>
    <row r="512" spans="1:5" ht="15.65" x14ac:dyDescent="0.3">
      <c r="A512" s="83" t="s">
        <v>242</v>
      </c>
      <c r="B512" s="83" t="s">
        <v>77</v>
      </c>
      <c r="C512" s="394">
        <v>150009</v>
      </c>
      <c r="D512" s="82">
        <f t="shared" si="20"/>
        <v>157509.45000000001</v>
      </c>
      <c r="E512" s="82">
        <f t="shared" si="20"/>
        <v>165384.92250000002</v>
      </c>
    </row>
    <row r="513" spans="1:5" ht="15.65" x14ac:dyDescent="0.3">
      <c r="A513" s="83"/>
      <c r="B513" s="83"/>
      <c r="C513" s="12"/>
      <c r="D513" s="82">
        <f t="shared" si="20"/>
        <v>0</v>
      </c>
      <c r="E513" s="82">
        <f t="shared" si="20"/>
        <v>0</v>
      </c>
    </row>
    <row r="514" spans="1:5" ht="15.65" x14ac:dyDescent="0.3">
      <c r="A514" s="80">
        <v>3110900</v>
      </c>
      <c r="B514" s="80" t="s">
        <v>271</v>
      </c>
      <c r="C514" s="85">
        <f>C515</f>
        <v>93544</v>
      </c>
      <c r="D514" s="366">
        <f t="shared" si="20"/>
        <v>98221.2</v>
      </c>
      <c r="E514" s="366">
        <f t="shared" si="20"/>
        <v>103132.26</v>
      </c>
    </row>
    <row r="515" spans="1:5" ht="15.65" x14ac:dyDescent="0.3">
      <c r="A515" s="83" t="s">
        <v>272</v>
      </c>
      <c r="B515" s="83" t="s">
        <v>273</v>
      </c>
      <c r="C515" s="394">
        <v>93544</v>
      </c>
      <c r="D515" s="82">
        <f t="shared" si="20"/>
        <v>98221.2</v>
      </c>
      <c r="E515" s="82">
        <f t="shared" si="20"/>
        <v>103132.26</v>
      </c>
    </row>
    <row r="516" spans="1:5" ht="15.65" x14ac:dyDescent="0.3">
      <c r="A516" s="80" t="s">
        <v>274</v>
      </c>
      <c r="B516" s="80" t="s">
        <v>82</v>
      </c>
      <c r="C516" s="92">
        <f>C517+C518+C519+C520</f>
        <v>571259</v>
      </c>
      <c r="D516" s="366">
        <f t="shared" si="20"/>
        <v>599821.95000000007</v>
      </c>
      <c r="E516" s="366">
        <f t="shared" si="20"/>
        <v>629813.0475000001</v>
      </c>
    </row>
    <row r="517" spans="1:5" ht="15.65" x14ac:dyDescent="0.3">
      <c r="A517" s="83" t="s">
        <v>153</v>
      </c>
      <c r="B517" s="83" t="s">
        <v>83</v>
      </c>
      <c r="C517" s="394">
        <v>176843</v>
      </c>
      <c r="D517" s="82">
        <f t="shared" ref="D517:E532" si="21">C517*1.05</f>
        <v>185685.15</v>
      </c>
      <c r="E517" s="82">
        <f t="shared" si="21"/>
        <v>194969.4075</v>
      </c>
    </row>
    <row r="518" spans="1:5" ht="15.65" x14ac:dyDescent="0.3">
      <c r="A518" s="83" t="s">
        <v>275</v>
      </c>
      <c r="B518" s="83" t="s">
        <v>84</v>
      </c>
      <c r="C518" s="394">
        <v>394416</v>
      </c>
      <c r="D518" s="82">
        <f t="shared" si="21"/>
        <v>414136.80000000005</v>
      </c>
      <c r="E518" s="82">
        <f t="shared" si="21"/>
        <v>434843.64000000007</v>
      </c>
    </row>
    <row r="519" spans="1:5" ht="15.65" x14ac:dyDescent="0.3">
      <c r="A519" s="83" t="s">
        <v>276</v>
      </c>
      <c r="B519" s="12" t="s">
        <v>750</v>
      </c>
      <c r="C519" s="394">
        <v>0</v>
      </c>
      <c r="D519" s="82">
        <f t="shared" si="21"/>
        <v>0</v>
      </c>
      <c r="E519" s="82">
        <f t="shared" si="21"/>
        <v>0</v>
      </c>
    </row>
    <row r="520" spans="1:5" ht="15.65" x14ac:dyDescent="0.3">
      <c r="A520" s="12">
        <v>3110701</v>
      </c>
      <c r="B520" s="83" t="s">
        <v>277</v>
      </c>
      <c r="C520" s="395">
        <v>0</v>
      </c>
      <c r="D520" s="82">
        <f t="shared" si="21"/>
        <v>0</v>
      </c>
      <c r="E520" s="82">
        <f t="shared" si="21"/>
        <v>0</v>
      </c>
    </row>
    <row r="521" spans="1:5" ht="15.65" x14ac:dyDescent="0.3">
      <c r="A521" s="80" t="s">
        <v>278</v>
      </c>
      <c r="B521" s="80" t="s">
        <v>279</v>
      </c>
      <c r="C521" s="92">
        <f>C522+C523</f>
        <v>1000000</v>
      </c>
      <c r="D521" s="82">
        <f t="shared" si="21"/>
        <v>1050000</v>
      </c>
      <c r="E521" s="82">
        <f t="shared" si="21"/>
        <v>1102500</v>
      </c>
    </row>
    <row r="522" spans="1:5" ht="15.65" x14ac:dyDescent="0.3">
      <c r="A522" s="83" t="s">
        <v>280</v>
      </c>
      <c r="B522" s="83" t="s">
        <v>281</v>
      </c>
      <c r="C522" s="88">
        <v>0</v>
      </c>
      <c r="D522" s="82">
        <f t="shared" si="21"/>
        <v>0</v>
      </c>
      <c r="E522" s="82">
        <f t="shared" si="21"/>
        <v>0</v>
      </c>
    </row>
    <row r="523" spans="1:5" ht="31.25" x14ac:dyDescent="0.3">
      <c r="A523" s="83" t="s">
        <v>282</v>
      </c>
      <c r="B523" s="83" t="s">
        <v>283</v>
      </c>
      <c r="C523" s="394">
        <v>1000000</v>
      </c>
      <c r="D523" s="82">
        <f t="shared" si="21"/>
        <v>1050000</v>
      </c>
      <c r="E523" s="82">
        <f t="shared" si="21"/>
        <v>1102500</v>
      </c>
    </row>
    <row r="524" spans="1:5" ht="15.65" x14ac:dyDescent="0.3">
      <c r="A524" s="83">
        <v>3111403</v>
      </c>
      <c r="B524" s="83" t="s">
        <v>284</v>
      </c>
      <c r="C524" s="82"/>
      <c r="D524" s="82">
        <f t="shared" si="21"/>
        <v>0</v>
      </c>
      <c r="E524" s="82">
        <f t="shared" si="21"/>
        <v>0</v>
      </c>
    </row>
    <row r="525" spans="1:5" ht="31.25" x14ac:dyDescent="0.3">
      <c r="A525" s="83"/>
      <c r="B525" s="80" t="s">
        <v>903</v>
      </c>
      <c r="C525" s="396">
        <f>C451+C454+C458+C466+C476+C481+C492+C496+C499+C505+C507+C514+C516+C521</f>
        <v>21555383</v>
      </c>
      <c r="D525" s="86">
        <f t="shared" si="21"/>
        <v>22633152.150000002</v>
      </c>
      <c r="E525" s="86">
        <f t="shared" si="21"/>
        <v>23764809.757500004</v>
      </c>
    </row>
    <row r="526" spans="1:5" ht="15.65" x14ac:dyDescent="0.3">
      <c r="A526" s="339"/>
      <c r="B526" s="76"/>
      <c r="C526" s="397"/>
      <c r="D526" s="82">
        <f t="shared" si="21"/>
        <v>0</v>
      </c>
      <c r="E526" s="82">
        <f t="shared" si="21"/>
        <v>0</v>
      </c>
    </row>
    <row r="527" spans="1:5" ht="15.65" x14ac:dyDescent="0.3">
      <c r="A527" s="148"/>
      <c r="B527" s="380" t="s">
        <v>897</v>
      </c>
      <c r="C527" s="397"/>
      <c r="D527" s="82">
        <f t="shared" si="21"/>
        <v>0</v>
      </c>
      <c r="E527" s="82">
        <f t="shared" si="21"/>
        <v>0</v>
      </c>
    </row>
    <row r="528" spans="1:5" ht="15.65" x14ac:dyDescent="0.3">
      <c r="A528" s="339">
        <v>3110599</v>
      </c>
      <c r="B528" s="393" t="s">
        <v>699</v>
      </c>
      <c r="C528" s="397">
        <v>0</v>
      </c>
      <c r="D528" s="82">
        <f t="shared" si="21"/>
        <v>0</v>
      </c>
      <c r="E528" s="82">
        <f t="shared" si="21"/>
        <v>0</v>
      </c>
    </row>
    <row r="529" spans="1:5" ht="15.65" x14ac:dyDescent="0.3">
      <c r="A529" s="76">
        <v>3110504</v>
      </c>
      <c r="B529" s="147" t="s">
        <v>583</v>
      </c>
      <c r="C529" s="397">
        <v>0</v>
      </c>
      <c r="D529" s="82">
        <f t="shared" si="21"/>
        <v>0</v>
      </c>
      <c r="E529" s="82">
        <f t="shared" si="21"/>
        <v>0</v>
      </c>
    </row>
    <row r="530" spans="1:5" ht="15.65" x14ac:dyDescent="0.3">
      <c r="A530" s="347" t="s">
        <v>272</v>
      </c>
      <c r="B530" s="357" t="s">
        <v>273</v>
      </c>
      <c r="C530" s="397">
        <v>0</v>
      </c>
      <c r="D530" s="82">
        <f t="shared" si="21"/>
        <v>0</v>
      </c>
      <c r="E530" s="82">
        <f t="shared" si="21"/>
        <v>0</v>
      </c>
    </row>
    <row r="531" spans="1:5" ht="15.65" x14ac:dyDescent="0.3">
      <c r="A531" s="76">
        <v>2410104</v>
      </c>
      <c r="B531" s="147" t="s">
        <v>751</v>
      </c>
      <c r="C531" s="397">
        <v>0</v>
      </c>
      <c r="D531" s="82">
        <f t="shared" si="21"/>
        <v>0</v>
      </c>
      <c r="E531" s="82">
        <f t="shared" si="21"/>
        <v>0</v>
      </c>
    </row>
    <row r="532" spans="1:5" ht="15.65" x14ac:dyDescent="0.3">
      <c r="A532" s="339">
        <v>2410104</v>
      </c>
      <c r="B532" s="339" t="s">
        <v>245</v>
      </c>
      <c r="C532" s="397">
        <v>0</v>
      </c>
      <c r="D532" s="82">
        <f t="shared" si="21"/>
        <v>0</v>
      </c>
      <c r="E532" s="82">
        <f t="shared" si="21"/>
        <v>0</v>
      </c>
    </row>
    <row r="533" spans="1:5" ht="31.25" x14ac:dyDescent="0.3">
      <c r="A533" s="339"/>
      <c r="B533" s="380" t="s">
        <v>904</v>
      </c>
      <c r="C533" s="397">
        <f>C528+C529+C530+C531+C532</f>
        <v>0</v>
      </c>
      <c r="D533" s="82">
        <f t="shared" ref="D533:E534" si="22">C533*1.05</f>
        <v>0</v>
      </c>
      <c r="E533" s="82">
        <f t="shared" si="22"/>
        <v>0</v>
      </c>
    </row>
    <row r="534" spans="1:5" ht="46.75" x14ac:dyDescent="0.3">
      <c r="A534" s="339"/>
      <c r="B534" s="380" t="s">
        <v>905</v>
      </c>
      <c r="C534" s="396">
        <f>C525+C533</f>
        <v>21555383</v>
      </c>
      <c r="D534" s="366">
        <f t="shared" si="22"/>
        <v>22633152.150000002</v>
      </c>
      <c r="E534" s="366">
        <f t="shared" si="22"/>
        <v>23764809.757500004</v>
      </c>
    </row>
    <row r="535" spans="1:5" ht="15.65" x14ac:dyDescent="0.3">
      <c r="A535" s="339"/>
      <c r="B535" s="398"/>
      <c r="C535" s="342"/>
      <c r="D535" s="82"/>
      <c r="E535" s="82"/>
    </row>
    <row r="536" spans="1:5" ht="15.65" x14ac:dyDescent="0.3">
      <c r="A536" s="148"/>
      <c r="B536" s="380"/>
      <c r="C536" s="342"/>
      <c r="D536" s="82"/>
      <c r="E536" s="82"/>
    </row>
    <row r="537" spans="1:5" ht="15.65" x14ac:dyDescent="0.3">
      <c r="A537" s="148"/>
      <c r="B537" s="380"/>
      <c r="C537" s="342"/>
      <c r="D537" s="82"/>
      <c r="E537" s="82"/>
    </row>
    <row r="538" spans="1:5" ht="15.65" x14ac:dyDescent="0.3">
      <c r="A538" s="148"/>
      <c r="B538" s="380"/>
      <c r="C538" s="342"/>
      <c r="D538" s="82"/>
      <c r="E538" s="82"/>
    </row>
    <row r="539" spans="1:5" ht="31.25" x14ac:dyDescent="0.3">
      <c r="A539" s="78"/>
      <c r="B539" s="78" t="s">
        <v>906</v>
      </c>
      <c r="C539" s="79" t="s">
        <v>184</v>
      </c>
      <c r="D539" s="79" t="s">
        <v>746</v>
      </c>
      <c r="E539" s="79" t="s">
        <v>791</v>
      </c>
    </row>
    <row r="540" spans="1:5" ht="15.65" x14ac:dyDescent="0.3">
      <c r="A540" s="78"/>
      <c r="B540" s="78" t="s">
        <v>907</v>
      </c>
      <c r="C540" s="79"/>
      <c r="D540" s="382"/>
      <c r="E540" s="382"/>
    </row>
    <row r="541" spans="1:5" ht="15.65" x14ac:dyDescent="0.3">
      <c r="A541" s="80" t="s">
        <v>185</v>
      </c>
      <c r="B541" s="80" t="s">
        <v>186</v>
      </c>
      <c r="C541" s="81">
        <f>C542</f>
        <v>0</v>
      </c>
      <c r="D541" s="82"/>
      <c r="E541" s="82"/>
    </row>
    <row r="542" spans="1:5" ht="15.65" x14ac:dyDescent="0.3">
      <c r="A542" s="83" t="s">
        <v>98</v>
      </c>
      <c r="B542" s="83" t="s">
        <v>99</v>
      </c>
      <c r="C542" s="81">
        <v>0</v>
      </c>
      <c r="D542" s="82"/>
      <c r="E542" s="82"/>
    </row>
    <row r="543" spans="1:5" ht="15.65" x14ac:dyDescent="0.3">
      <c r="A543" s="80" t="s">
        <v>3</v>
      </c>
      <c r="B543" s="80" t="s">
        <v>4</v>
      </c>
      <c r="C543" s="78">
        <f>C544</f>
        <v>0</v>
      </c>
      <c r="D543" s="82"/>
      <c r="E543" s="82"/>
    </row>
    <row r="544" spans="1:5" ht="15.65" x14ac:dyDescent="0.3">
      <c r="A544" s="83" t="s">
        <v>5</v>
      </c>
      <c r="B544" s="83" t="s">
        <v>6</v>
      </c>
      <c r="C544" s="81">
        <v>0</v>
      </c>
      <c r="D544" s="82"/>
      <c r="E544" s="82"/>
    </row>
    <row r="545" spans="1:5" ht="15.65" x14ac:dyDescent="0.3">
      <c r="A545" s="80" t="s">
        <v>289</v>
      </c>
      <c r="B545" s="80" t="s">
        <v>290</v>
      </c>
      <c r="C545" s="81">
        <f>C546+C547</f>
        <v>0</v>
      </c>
      <c r="D545" s="82"/>
      <c r="E545" s="82"/>
    </row>
    <row r="546" spans="1:5" ht="15.65" x14ac:dyDescent="0.3">
      <c r="A546" s="83" t="s">
        <v>291</v>
      </c>
      <c r="B546" s="83" t="s">
        <v>10</v>
      </c>
      <c r="C546" s="81">
        <v>0</v>
      </c>
      <c r="D546" s="82"/>
      <c r="E546" s="82"/>
    </row>
    <row r="547" spans="1:5" ht="15.65" x14ac:dyDescent="0.3">
      <c r="A547" s="83" t="s">
        <v>292</v>
      </c>
      <c r="B547" s="83" t="s">
        <v>293</v>
      </c>
      <c r="C547" s="81">
        <v>0</v>
      </c>
      <c r="D547" s="82"/>
      <c r="E547" s="82"/>
    </row>
    <row r="548" spans="1:5" ht="15.65" x14ac:dyDescent="0.3">
      <c r="A548" s="80" t="s">
        <v>294</v>
      </c>
      <c r="B548" s="80" t="s">
        <v>295</v>
      </c>
      <c r="C548" s="81">
        <v>0</v>
      </c>
      <c r="D548" s="82"/>
      <c r="E548" s="82"/>
    </row>
    <row r="549" spans="1:5" ht="15.65" x14ac:dyDescent="0.3">
      <c r="A549" s="80">
        <v>2410104</v>
      </c>
      <c r="B549" s="84" t="s">
        <v>268</v>
      </c>
      <c r="C549" s="78">
        <v>0</v>
      </c>
      <c r="D549" s="82"/>
      <c r="E549" s="82"/>
    </row>
    <row r="550" spans="1:5" ht="15.65" x14ac:dyDescent="0.3">
      <c r="A550" s="80" t="s">
        <v>192</v>
      </c>
      <c r="B550" s="80" t="s">
        <v>23</v>
      </c>
      <c r="C550" s="86">
        <f>C551+C552</f>
        <v>1113404</v>
      </c>
      <c r="D550" s="86">
        <f>C550*1.05</f>
        <v>1169074.2</v>
      </c>
      <c r="E550" s="86">
        <f>D550*1.05</f>
        <v>1227527.9099999999</v>
      </c>
    </row>
    <row r="551" spans="1:5" ht="15.65" x14ac:dyDescent="0.3">
      <c r="A551" s="83" t="s">
        <v>101</v>
      </c>
      <c r="B551" s="83" t="s">
        <v>102</v>
      </c>
      <c r="C551" s="82">
        <v>695270</v>
      </c>
      <c r="D551" s="82">
        <f t="shared" ref="D551:E614" si="23">C551*1.05</f>
        <v>730033.5</v>
      </c>
      <c r="E551" s="82">
        <f t="shared" si="23"/>
        <v>766535.17500000005</v>
      </c>
    </row>
    <row r="552" spans="1:5" ht="15.65" x14ac:dyDescent="0.3">
      <c r="A552" s="83" t="s">
        <v>103</v>
      </c>
      <c r="B552" s="83" t="s">
        <v>104</v>
      </c>
      <c r="C552" s="82">
        <v>418134</v>
      </c>
      <c r="D552" s="82">
        <f t="shared" si="23"/>
        <v>439040.7</v>
      </c>
      <c r="E552" s="82">
        <f t="shared" si="23"/>
        <v>460992.73500000004</v>
      </c>
    </row>
    <row r="553" spans="1:5" ht="15.65" x14ac:dyDescent="0.3">
      <c r="A553" s="80" t="s">
        <v>193</v>
      </c>
      <c r="B553" s="80" t="s">
        <v>194</v>
      </c>
      <c r="C553" s="86">
        <f>C554+C555</f>
        <v>300231</v>
      </c>
      <c r="D553" s="82">
        <f t="shared" si="23"/>
        <v>315242.55</v>
      </c>
      <c r="E553" s="82">
        <f t="shared" si="23"/>
        <v>331004.67749999999</v>
      </c>
    </row>
    <row r="554" spans="1:5" ht="15.65" x14ac:dyDescent="0.3">
      <c r="A554" s="83">
        <v>2210201</v>
      </c>
      <c r="B554" s="83" t="s">
        <v>106</v>
      </c>
      <c r="C554" s="82">
        <v>139784</v>
      </c>
      <c r="D554" s="82">
        <f t="shared" si="23"/>
        <v>146773.20000000001</v>
      </c>
      <c r="E554" s="82">
        <f t="shared" si="23"/>
        <v>154111.86000000002</v>
      </c>
    </row>
    <row r="555" spans="1:5" ht="15.65" x14ac:dyDescent="0.3">
      <c r="A555" s="83" t="s">
        <v>107</v>
      </c>
      <c r="B555" s="83" t="s">
        <v>108</v>
      </c>
      <c r="C555" s="82">
        <v>160447</v>
      </c>
      <c r="D555" s="82">
        <f t="shared" si="23"/>
        <v>168469.35</v>
      </c>
      <c r="E555" s="82">
        <f t="shared" si="23"/>
        <v>176892.8175</v>
      </c>
    </row>
    <row r="556" spans="1:5" ht="15.65" x14ac:dyDescent="0.3">
      <c r="A556" s="83" t="s">
        <v>109</v>
      </c>
      <c r="B556" s="83" t="s">
        <v>29</v>
      </c>
      <c r="C556" s="82">
        <v>36524</v>
      </c>
      <c r="D556" s="82">
        <f t="shared" si="23"/>
        <v>38350.200000000004</v>
      </c>
      <c r="E556" s="82">
        <f t="shared" si="23"/>
        <v>40267.710000000006</v>
      </c>
    </row>
    <row r="557" spans="1:5" ht="31.25" x14ac:dyDescent="0.3">
      <c r="A557" s="80" t="s">
        <v>195</v>
      </c>
      <c r="B557" s="80" t="s">
        <v>30</v>
      </c>
      <c r="C557" s="86">
        <f>C558+C559+C560</f>
        <v>1082531</v>
      </c>
      <c r="D557" s="86">
        <f t="shared" si="23"/>
        <v>1136657.55</v>
      </c>
      <c r="E557" s="86">
        <f t="shared" si="23"/>
        <v>1193490.4275</v>
      </c>
    </row>
    <row r="558" spans="1:5" ht="31.25" x14ac:dyDescent="0.3">
      <c r="A558" s="83" t="s">
        <v>110</v>
      </c>
      <c r="B558" s="83" t="s">
        <v>111</v>
      </c>
      <c r="C558" s="82">
        <v>139784</v>
      </c>
      <c r="D558" s="82">
        <f t="shared" si="23"/>
        <v>146773.20000000001</v>
      </c>
      <c r="E558" s="82">
        <f t="shared" si="23"/>
        <v>154111.86000000002</v>
      </c>
    </row>
    <row r="559" spans="1:5" ht="15.65" x14ac:dyDescent="0.3">
      <c r="A559" s="83" t="s">
        <v>112</v>
      </c>
      <c r="B559" s="83" t="s">
        <v>113</v>
      </c>
      <c r="C559" s="82">
        <v>189133</v>
      </c>
      <c r="D559" s="82">
        <f t="shared" si="23"/>
        <v>198589.65</v>
      </c>
      <c r="E559" s="82">
        <f t="shared" si="23"/>
        <v>208519.13250000001</v>
      </c>
    </row>
    <row r="560" spans="1:5" ht="15.65" x14ac:dyDescent="0.3">
      <c r="A560" s="83" t="s">
        <v>114</v>
      </c>
      <c r="B560" s="83" t="s">
        <v>115</v>
      </c>
      <c r="C560" s="82">
        <v>753614</v>
      </c>
      <c r="D560" s="82">
        <f t="shared" si="23"/>
        <v>791294.70000000007</v>
      </c>
      <c r="E560" s="82">
        <f t="shared" si="23"/>
        <v>830859.43500000006</v>
      </c>
    </row>
    <row r="561" spans="1:5" ht="31.25" x14ac:dyDescent="0.3">
      <c r="A561" s="80" t="s">
        <v>117</v>
      </c>
      <c r="B561" s="80" t="s">
        <v>118</v>
      </c>
      <c r="C561" s="82">
        <v>0</v>
      </c>
      <c r="D561" s="82">
        <f t="shared" si="23"/>
        <v>0</v>
      </c>
      <c r="E561" s="82">
        <f t="shared" si="23"/>
        <v>0</v>
      </c>
    </row>
    <row r="562" spans="1:5" ht="15.65" x14ac:dyDescent="0.3">
      <c r="A562" s="83" t="s">
        <v>119</v>
      </c>
      <c r="B562" s="83" t="s">
        <v>120</v>
      </c>
      <c r="C562" s="82">
        <v>0</v>
      </c>
      <c r="D562" s="82">
        <f t="shared" si="23"/>
        <v>0</v>
      </c>
      <c r="E562" s="82">
        <f t="shared" si="23"/>
        <v>0</v>
      </c>
    </row>
    <row r="563" spans="1:5" ht="15.65" x14ac:dyDescent="0.3">
      <c r="A563" s="83" t="s">
        <v>197</v>
      </c>
      <c r="B563" s="83" t="s">
        <v>198</v>
      </c>
      <c r="C563" s="82">
        <v>0</v>
      </c>
      <c r="D563" s="82">
        <f t="shared" si="23"/>
        <v>0</v>
      </c>
      <c r="E563" s="82">
        <f t="shared" si="23"/>
        <v>0</v>
      </c>
    </row>
    <row r="564" spans="1:5" ht="15.65" x14ac:dyDescent="0.3">
      <c r="A564" s="83" t="s">
        <v>121</v>
      </c>
      <c r="B564" s="83" t="s">
        <v>115</v>
      </c>
      <c r="C564" s="82">
        <v>0</v>
      </c>
      <c r="D564" s="82">
        <f t="shared" si="23"/>
        <v>0</v>
      </c>
      <c r="E564" s="82">
        <f t="shared" si="23"/>
        <v>0</v>
      </c>
    </row>
    <row r="565" spans="1:5" ht="31.25" x14ac:dyDescent="0.3">
      <c r="A565" s="80" t="s">
        <v>199</v>
      </c>
      <c r="B565" s="80" t="s">
        <v>38</v>
      </c>
      <c r="C565" s="86">
        <f>C566+C567+C568</f>
        <v>577366</v>
      </c>
      <c r="D565" s="86">
        <f t="shared" si="23"/>
        <v>606234.30000000005</v>
      </c>
      <c r="E565" s="86">
        <f t="shared" si="23"/>
        <v>636546.01500000013</v>
      </c>
    </row>
    <row r="566" spans="1:5" ht="15.65" x14ac:dyDescent="0.3">
      <c r="A566" s="83" t="s">
        <v>200</v>
      </c>
      <c r="B566" s="83" t="s">
        <v>201</v>
      </c>
      <c r="C566" s="82">
        <v>577366</v>
      </c>
      <c r="D566" s="82">
        <f t="shared" si="23"/>
        <v>606234.30000000005</v>
      </c>
      <c r="E566" s="82">
        <f t="shared" si="23"/>
        <v>636546.01500000013</v>
      </c>
    </row>
    <row r="567" spans="1:5" ht="15.65" x14ac:dyDescent="0.3">
      <c r="A567" s="83" t="s">
        <v>122</v>
      </c>
      <c r="B567" s="83" t="s">
        <v>123</v>
      </c>
      <c r="C567" s="82">
        <v>0</v>
      </c>
      <c r="D567" s="82">
        <f t="shared" si="23"/>
        <v>0</v>
      </c>
      <c r="E567" s="82">
        <f t="shared" si="23"/>
        <v>0</v>
      </c>
    </row>
    <row r="568" spans="1:5" ht="15.65" x14ac:dyDescent="0.3">
      <c r="A568" s="83" t="s">
        <v>124</v>
      </c>
      <c r="B568" s="83" t="s">
        <v>125</v>
      </c>
      <c r="C568" s="82">
        <v>0</v>
      </c>
      <c r="D568" s="82">
        <f t="shared" si="23"/>
        <v>0</v>
      </c>
      <c r="E568" s="82">
        <f t="shared" si="23"/>
        <v>0</v>
      </c>
    </row>
    <row r="569" spans="1:5" ht="15.65" x14ac:dyDescent="0.3">
      <c r="A569" s="83" t="s">
        <v>202</v>
      </c>
      <c r="B569" s="83" t="s">
        <v>41</v>
      </c>
      <c r="C569" s="82">
        <v>0</v>
      </c>
      <c r="D569" s="82">
        <f t="shared" si="23"/>
        <v>0</v>
      </c>
      <c r="E569" s="82">
        <f t="shared" si="23"/>
        <v>0</v>
      </c>
    </row>
    <row r="570" spans="1:5" ht="15.65" x14ac:dyDescent="0.3">
      <c r="A570" s="80" t="s">
        <v>259</v>
      </c>
      <c r="B570" s="80" t="s">
        <v>42</v>
      </c>
      <c r="C570" s="82">
        <v>0</v>
      </c>
      <c r="D570" s="82">
        <f t="shared" si="23"/>
        <v>0</v>
      </c>
      <c r="E570" s="82">
        <f t="shared" si="23"/>
        <v>0</v>
      </c>
    </row>
    <row r="571" spans="1:5" ht="15.65" x14ac:dyDescent="0.3">
      <c r="A571" s="83" t="s">
        <v>260</v>
      </c>
      <c r="B571" s="83" t="s">
        <v>43</v>
      </c>
      <c r="C571" s="82">
        <v>0</v>
      </c>
      <c r="D571" s="82">
        <f t="shared" si="23"/>
        <v>0</v>
      </c>
      <c r="E571" s="82">
        <f t="shared" si="23"/>
        <v>0</v>
      </c>
    </row>
    <row r="572" spans="1:5" ht="15.65" x14ac:dyDescent="0.3">
      <c r="A572" s="80" t="s">
        <v>203</v>
      </c>
      <c r="B572" s="80" t="s">
        <v>45</v>
      </c>
      <c r="C572" s="82">
        <v>0</v>
      </c>
      <c r="D572" s="82">
        <f t="shared" si="23"/>
        <v>0</v>
      </c>
      <c r="E572" s="82">
        <f t="shared" si="23"/>
        <v>0</v>
      </c>
    </row>
    <row r="573" spans="1:5" ht="15.65" x14ac:dyDescent="0.3">
      <c r="A573" s="83" t="s">
        <v>127</v>
      </c>
      <c r="B573" s="83" t="s">
        <v>128</v>
      </c>
      <c r="C573" s="82">
        <v>0</v>
      </c>
      <c r="D573" s="82">
        <f t="shared" si="23"/>
        <v>0</v>
      </c>
      <c r="E573" s="82">
        <f t="shared" si="23"/>
        <v>0</v>
      </c>
    </row>
    <row r="574" spans="1:5" ht="15.65" x14ac:dyDescent="0.3">
      <c r="A574" s="83" t="s">
        <v>129</v>
      </c>
      <c r="B574" s="83" t="s">
        <v>130</v>
      </c>
      <c r="C574" s="82">
        <v>0</v>
      </c>
      <c r="D574" s="82">
        <f t="shared" si="23"/>
        <v>0</v>
      </c>
      <c r="E574" s="82">
        <f t="shared" si="23"/>
        <v>0</v>
      </c>
    </row>
    <row r="575" spans="1:5" ht="15.65" x14ac:dyDescent="0.3">
      <c r="A575" s="80" t="s">
        <v>205</v>
      </c>
      <c r="B575" s="80" t="s">
        <v>48</v>
      </c>
      <c r="C575" s="86">
        <f>C576+C577+C578</f>
        <v>1215506</v>
      </c>
      <c r="D575" s="82">
        <f t="shared" si="23"/>
        <v>1276281.3</v>
      </c>
      <c r="E575" s="82">
        <f t="shared" si="23"/>
        <v>1340095.365</v>
      </c>
    </row>
    <row r="576" spans="1:5" ht="31.25" x14ac:dyDescent="0.3">
      <c r="A576" s="83" t="s">
        <v>131</v>
      </c>
      <c r="B576" s="83" t="s">
        <v>206</v>
      </c>
      <c r="C576" s="82">
        <v>607753</v>
      </c>
      <c r="D576" s="82">
        <f t="shared" si="23"/>
        <v>638140.65</v>
      </c>
      <c r="E576" s="82">
        <f t="shared" si="23"/>
        <v>670047.6825</v>
      </c>
    </row>
    <row r="577" spans="1:5" ht="15.65" x14ac:dyDescent="0.3">
      <c r="A577" s="83" t="s">
        <v>133</v>
      </c>
      <c r="B577" s="83" t="s">
        <v>207</v>
      </c>
      <c r="C577" s="82">
        <v>607753</v>
      </c>
      <c r="D577" s="82">
        <f t="shared" si="23"/>
        <v>638140.65</v>
      </c>
      <c r="E577" s="82">
        <f t="shared" si="23"/>
        <v>670047.6825</v>
      </c>
    </row>
    <row r="578" spans="1:5" ht="15.65" x14ac:dyDescent="0.3">
      <c r="A578" s="80" t="s">
        <v>208</v>
      </c>
      <c r="B578" s="80" t="s">
        <v>209</v>
      </c>
      <c r="C578" s="82">
        <v>0</v>
      </c>
      <c r="D578" s="82">
        <f t="shared" si="23"/>
        <v>0</v>
      </c>
      <c r="E578" s="82">
        <f t="shared" si="23"/>
        <v>0</v>
      </c>
    </row>
    <row r="579" spans="1:5" ht="15.65" x14ac:dyDescent="0.3">
      <c r="A579" s="83" t="s">
        <v>210</v>
      </c>
      <c r="B579" s="83" t="s">
        <v>66</v>
      </c>
      <c r="C579" s="82">
        <v>0</v>
      </c>
      <c r="D579" s="82">
        <f t="shared" si="23"/>
        <v>0</v>
      </c>
      <c r="E579" s="82">
        <f t="shared" si="23"/>
        <v>0</v>
      </c>
    </row>
    <row r="580" spans="1:5" ht="15.65" x14ac:dyDescent="0.3">
      <c r="A580" s="80" t="s">
        <v>211</v>
      </c>
      <c r="B580" s="80" t="s">
        <v>51</v>
      </c>
      <c r="C580" s="86">
        <f>C581+C582+C583+C584+C585+C586+C587+C588+C589</f>
        <v>20427073</v>
      </c>
      <c r="D580" s="82">
        <f t="shared" si="23"/>
        <v>21448426.650000002</v>
      </c>
      <c r="E580" s="82">
        <f t="shared" si="23"/>
        <v>22520847.982500002</v>
      </c>
    </row>
    <row r="581" spans="1:5" ht="15.65" x14ac:dyDescent="0.3">
      <c r="A581" s="83" t="s">
        <v>212</v>
      </c>
      <c r="B581" s="83" t="s">
        <v>213</v>
      </c>
      <c r="C581" s="82">
        <v>5254272</v>
      </c>
      <c r="D581" s="82">
        <f t="shared" si="23"/>
        <v>5516985.6000000006</v>
      </c>
      <c r="E581" s="82">
        <f t="shared" si="23"/>
        <v>5792834.8800000008</v>
      </c>
    </row>
    <row r="582" spans="1:5" ht="15.65" x14ac:dyDescent="0.3">
      <c r="A582" s="83" t="s">
        <v>214</v>
      </c>
      <c r="B582" s="83" t="s">
        <v>215</v>
      </c>
      <c r="C582" s="82">
        <v>6105126</v>
      </c>
      <c r="D582" s="82">
        <f t="shared" si="23"/>
        <v>6410382.2999999998</v>
      </c>
      <c r="E582" s="82">
        <f t="shared" si="23"/>
        <v>6730901.415</v>
      </c>
    </row>
    <row r="583" spans="1:5" ht="15.65" x14ac:dyDescent="0.3">
      <c r="A583" s="83" t="s">
        <v>216</v>
      </c>
      <c r="B583" s="83" t="s">
        <v>217</v>
      </c>
      <c r="C583" s="82">
        <v>1215506</v>
      </c>
      <c r="D583" s="82">
        <f t="shared" si="23"/>
        <v>1276281.3</v>
      </c>
      <c r="E583" s="82">
        <f t="shared" si="23"/>
        <v>1340095.365</v>
      </c>
    </row>
    <row r="584" spans="1:5" ht="15.65" x14ac:dyDescent="0.3">
      <c r="A584" s="83" t="s">
        <v>261</v>
      </c>
      <c r="B584" s="83" t="s">
        <v>218</v>
      </c>
      <c r="C584" s="82">
        <v>1215506</v>
      </c>
      <c r="D584" s="82">
        <f t="shared" si="23"/>
        <v>1276281.3</v>
      </c>
      <c r="E584" s="82">
        <f t="shared" si="23"/>
        <v>1340095.365</v>
      </c>
    </row>
    <row r="585" spans="1:5" ht="15.65" x14ac:dyDescent="0.3">
      <c r="A585" s="83" t="s">
        <v>219</v>
      </c>
      <c r="B585" s="83" t="s">
        <v>220</v>
      </c>
      <c r="C585" s="82">
        <v>3950395</v>
      </c>
      <c r="D585" s="82">
        <f t="shared" si="23"/>
        <v>4147914.75</v>
      </c>
      <c r="E585" s="82">
        <f t="shared" si="23"/>
        <v>4355310.4874999998</v>
      </c>
    </row>
    <row r="586" spans="1:5" ht="15.65" x14ac:dyDescent="0.3">
      <c r="A586" s="83" t="s">
        <v>221</v>
      </c>
      <c r="B586" s="83" t="s">
        <v>222</v>
      </c>
      <c r="C586" s="82">
        <v>2431012</v>
      </c>
      <c r="D586" s="82">
        <f t="shared" si="23"/>
        <v>2552562.6</v>
      </c>
      <c r="E586" s="82">
        <f t="shared" si="23"/>
        <v>2680190.73</v>
      </c>
    </row>
    <row r="587" spans="1:5" ht="15.65" x14ac:dyDescent="0.3">
      <c r="A587" s="83" t="s">
        <v>262</v>
      </c>
      <c r="B587" s="83" t="s">
        <v>55</v>
      </c>
      <c r="C587" s="82">
        <v>0</v>
      </c>
      <c r="D587" s="82">
        <f t="shared" si="23"/>
        <v>0</v>
      </c>
      <c r="E587" s="82">
        <f t="shared" si="23"/>
        <v>0</v>
      </c>
    </row>
    <row r="588" spans="1:5" ht="15.65" x14ac:dyDescent="0.3">
      <c r="A588" s="83" t="s">
        <v>223</v>
      </c>
      <c r="B588" s="83" t="s">
        <v>224</v>
      </c>
      <c r="C588" s="82">
        <v>255256</v>
      </c>
      <c r="D588" s="82">
        <f t="shared" si="23"/>
        <v>268018.8</v>
      </c>
      <c r="E588" s="82">
        <f t="shared" si="23"/>
        <v>281419.74</v>
      </c>
    </row>
    <row r="589" spans="1:5" ht="15.65" x14ac:dyDescent="0.3">
      <c r="A589" s="83" t="s">
        <v>225</v>
      </c>
      <c r="B589" s="83" t="s">
        <v>263</v>
      </c>
      <c r="C589" s="82">
        <v>0</v>
      </c>
      <c r="D589" s="82">
        <f t="shared" si="23"/>
        <v>0</v>
      </c>
      <c r="E589" s="82">
        <f t="shared" si="23"/>
        <v>0</v>
      </c>
    </row>
    <row r="590" spans="1:5" ht="15.65" x14ac:dyDescent="0.3">
      <c r="A590" s="80" t="s">
        <v>227</v>
      </c>
      <c r="B590" s="80" t="s">
        <v>56</v>
      </c>
      <c r="C590" s="86">
        <f>C591+C592+C593</f>
        <v>543332</v>
      </c>
      <c r="D590" s="82">
        <f t="shared" si="23"/>
        <v>570498.6</v>
      </c>
      <c r="E590" s="82">
        <f t="shared" si="23"/>
        <v>599023.53</v>
      </c>
    </row>
    <row r="591" spans="1:5" ht="31.25" x14ac:dyDescent="0.3">
      <c r="A591" s="83" t="s">
        <v>138</v>
      </c>
      <c r="B591" s="83" t="s">
        <v>228</v>
      </c>
      <c r="C591" s="82">
        <v>145861</v>
      </c>
      <c r="D591" s="82">
        <f t="shared" si="23"/>
        <v>153154.05000000002</v>
      </c>
      <c r="E591" s="82">
        <f t="shared" si="23"/>
        <v>160811.75250000003</v>
      </c>
    </row>
    <row r="592" spans="1:5" ht="15.65" x14ac:dyDescent="0.3">
      <c r="A592" s="83" t="s">
        <v>229</v>
      </c>
      <c r="B592" s="83" t="s">
        <v>58</v>
      </c>
      <c r="C592" s="82">
        <v>160447</v>
      </c>
      <c r="D592" s="82">
        <f t="shared" si="23"/>
        <v>168469.35</v>
      </c>
      <c r="E592" s="82">
        <f t="shared" si="23"/>
        <v>176892.8175</v>
      </c>
    </row>
    <row r="593" spans="1:5" ht="15.65" x14ac:dyDescent="0.3">
      <c r="A593" s="83" t="s">
        <v>140</v>
      </c>
      <c r="B593" s="83" t="s">
        <v>230</v>
      </c>
      <c r="C593" s="82">
        <v>237024</v>
      </c>
      <c r="D593" s="82">
        <f t="shared" si="23"/>
        <v>248875.2</v>
      </c>
      <c r="E593" s="82">
        <f t="shared" si="23"/>
        <v>261318.96000000002</v>
      </c>
    </row>
    <row r="594" spans="1:5" ht="15.65" x14ac:dyDescent="0.3">
      <c r="A594" s="80" t="s">
        <v>231</v>
      </c>
      <c r="B594" s="80" t="s">
        <v>60</v>
      </c>
      <c r="C594" s="86">
        <f>C595+C596</f>
        <v>1186335</v>
      </c>
      <c r="D594" s="82">
        <f t="shared" si="23"/>
        <v>1245651.75</v>
      </c>
      <c r="E594" s="82">
        <f t="shared" si="23"/>
        <v>1307934.3375000001</v>
      </c>
    </row>
    <row r="595" spans="1:5" ht="15.65" x14ac:dyDescent="0.3">
      <c r="A595" s="83" t="s">
        <v>142</v>
      </c>
      <c r="B595" s="83" t="s">
        <v>143</v>
      </c>
      <c r="C595" s="82">
        <v>1045335</v>
      </c>
      <c r="D595" s="82">
        <f t="shared" si="23"/>
        <v>1097601.75</v>
      </c>
      <c r="E595" s="82">
        <f t="shared" si="23"/>
        <v>1152481.8375000001</v>
      </c>
    </row>
    <row r="596" spans="1:5" x14ac:dyDescent="0.35">
      <c r="A596" s="83" t="s">
        <v>232</v>
      </c>
      <c r="B596" s="83" t="s">
        <v>264</v>
      </c>
      <c r="C596" s="82">
        <v>141000</v>
      </c>
      <c r="D596" s="82">
        <f t="shared" si="23"/>
        <v>148050</v>
      </c>
      <c r="E596" s="82">
        <f t="shared" si="23"/>
        <v>155452.5</v>
      </c>
    </row>
    <row r="597" spans="1:5" ht="15.65" x14ac:dyDescent="0.3">
      <c r="A597" s="80" t="s">
        <v>234</v>
      </c>
      <c r="B597" s="80" t="s">
        <v>62</v>
      </c>
      <c r="C597" s="86">
        <f>C598+C599</f>
        <v>937582</v>
      </c>
      <c r="D597" s="82">
        <f t="shared" si="23"/>
        <v>984461.10000000009</v>
      </c>
      <c r="E597" s="82">
        <f t="shared" si="23"/>
        <v>1033684.1550000001</v>
      </c>
    </row>
    <row r="598" spans="1:5" ht="15.65" x14ac:dyDescent="0.3">
      <c r="A598" s="83" t="s">
        <v>265</v>
      </c>
      <c r="B598" s="83" t="s">
        <v>266</v>
      </c>
      <c r="C598" s="82">
        <v>0</v>
      </c>
      <c r="D598" s="82">
        <f t="shared" si="23"/>
        <v>0</v>
      </c>
      <c r="E598" s="82">
        <f t="shared" si="23"/>
        <v>0</v>
      </c>
    </row>
    <row r="599" spans="1:5" ht="15.65" x14ac:dyDescent="0.3">
      <c r="A599" s="83" t="s">
        <v>235</v>
      </c>
      <c r="B599" s="83" t="s">
        <v>267</v>
      </c>
      <c r="C599" s="82">
        <v>937582</v>
      </c>
      <c r="D599" s="82">
        <f t="shared" si="23"/>
        <v>984461.10000000009</v>
      </c>
      <c r="E599" s="82">
        <f t="shared" si="23"/>
        <v>1033684.1550000001</v>
      </c>
    </row>
    <row r="600" spans="1:5" ht="15.65" x14ac:dyDescent="0.3">
      <c r="A600" s="83" t="s">
        <v>144</v>
      </c>
      <c r="B600" s="83" t="s">
        <v>64</v>
      </c>
      <c r="C600" s="82">
        <v>0</v>
      </c>
      <c r="D600" s="82">
        <f t="shared" si="23"/>
        <v>0</v>
      </c>
      <c r="E600" s="82">
        <f t="shared" si="23"/>
        <v>0</v>
      </c>
    </row>
    <row r="601" spans="1:5" ht="31.25" x14ac:dyDescent="0.3">
      <c r="A601" s="83" t="s">
        <v>145</v>
      </c>
      <c r="B601" s="83" t="s">
        <v>65</v>
      </c>
      <c r="C601" s="82">
        <v>0</v>
      </c>
      <c r="D601" s="82">
        <f t="shared" si="23"/>
        <v>0</v>
      </c>
      <c r="E601" s="82">
        <f t="shared" si="23"/>
        <v>0</v>
      </c>
    </row>
    <row r="602" spans="1:5" ht="15.65" x14ac:dyDescent="0.3">
      <c r="A602" s="83" t="s">
        <v>286</v>
      </c>
      <c r="B602" s="83" t="s">
        <v>69</v>
      </c>
      <c r="C602" s="82">
        <v>0</v>
      </c>
      <c r="D602" s="82">
        <f t="shared" si="23"/>
        <v>0</v>
      </c>
      <c r="E602" s="82">
        <f t="shared" si="23"/>
        <v>0</v>
      </c>
    </row>
    <row r="603" spans="1:5" ht="31.25" x14ac:dyDescent="0.3">
      <c r="A603" s="80" t="s">
        <v>237</v>
      </c>
      <c r="B603" s="80" t="s">
        <v>71</v>
      </c>
      <c r="C603" s="86">
        <f>C604</f>
        <v>492281</v>
      </c>
      <c r="D603" s="82">
        <f t="shared" si="23"/>
        <v>516895.05000000005</v>
      </c>
      <c r="E603" s="82">
        <f t="shared" si="23"/>
        <v>542739.80250000011</v>
      </c>
    </row>
    <row r="604" spans="1:5" ht="15.65" x14ac:dyDescent="0.3">
      <c r="A604" s="83" t="s">
        <v>148</v>
      </c>
      <c r="B604" s="83" t="s">
        <v>72</v>
      </c>
      <c r="C604" s="82">
        <v>492281</v>
      </c>
      <c r="D604" s="82">
        <f t="shared" si="23"/>
        <v>516895.05000000005</v>
      </c>
      <c r="E604" s="82">
        <f t="shared" si="23"/>
        <v>542739.80250000011</v>
      </c>
    </row>
    <row r="605" spans="1:5" ht="15.65" x14ac:dyDescent="0.3">
      <c r="A605" s="80" t="s">
        <v>238</v>
      </c>
      <c r="B605" s="80" t="s">
        <v>73</v>
      </c>
      <c r="C605" s="86">
        <f>C606+C607+C608+C609+C610</f>
        <v>1662095</v>
      </c>
      <c r="D605" s="82">
        <f t="shared" si="23"/>
        <v>1745199.75</v>
      </c>
      <c r="E605" s="82">
        <f t="shared" si="23"/>
        <v>1832459.7375</v>
      </c>
    </row>
    <row r="606" spans="1:5" ht="31.25" x14ac:dyDescent="0.3">
      <c r="A606" s="83" t="s">
        <v>269</v>
      </c>
      <c r="B606" s="83" t="s">
        <v>74</v>
      </c>
      <c r="C606" s="82">
        <v>583443</v>
      </c>
      <c r="D606" s="82">
        <f t="shared" si="23"/>
        <v>612615.15</v>
      </c>
      <c r="E606" s="82">
        <f t="shared" si="23"/>
        <v>643245.90750000009</v>
      </c>
    </row>
    <row r="607" spans="1:5" ht="15.65" x14ac:dyDescent="0.3">
      <c r="A607" s="83" t="s">
        <v>270</v>
      </c>
      <c r="B607" s="83" t="s">
        <v>75</v>
      </c>
      <c r="C607" s="82">
        <v>364652</v>
      </c>
      <c r="D607" s="82">
        <f t="shared" si="23"/>
        <v>382884.60000000003</v>
      </c>
      <c r="E607" s="82">
        <f t="shared" si="23"/>
        <v>402028.83000000007</v>
      </c>
    </row>
    <row r="608" spans="1:5" ht="15.65" x14ac:dyDescent="0.3">
      <c r="A608" s="83" t="s">
        <v>239</v>
      </c>
      <c r="B608" s="83" t="s">
        <v>240</v>
      </c>
      <c r="C608" s="82">
        <v>145861</v>
      </c>
      <c r="D608" s="82">
        <f t="shared" si="23"/>
        <v>153154.05000000002</v>
      </c>
      <c r="E608" s="82">
        <f t="shared" si="23"/>
        <v>160811.75250000003</v>
      </c>
    </row>
    <row r="609" spans="1:5" ht="15.65" x14ac:dyDescent="0.3">
      <c r="A609" s="83" t="s">
        <v>241</v>
      </c>
      <c r="B609" s="83" t="s">
        <v>76</v>
      </c>
      <c r="C609" s="82">
        <v>0</v>
      </c>
      <c r="D609" s="82">
        <f t="shared" si="23"/>
        <v>0</v>
      </c>
      <c r="E609" s="82">
        <f t="shared" si="23"/>
        <v>0</v>
      </c>
    </row>
    <row r="610" spans="1:5" ht="15.65" x14ac:dyDescent="0.3">
      <c r="A610" s="83" t="s">
        <v>242</v>
      </c>
      <c r="B610" s="83" t="s">
        <v>77</v>
      </c>
      <c r="C610" s="82">
        <v>568139</v>
      </c>
      <c r="D610" s="82">
        <f t="shared" si="23"/>
        <v>596545.95000000007</v>
      </c>
      <c r="E610" s="82">
        <f t="shared" si="23"/>
        <v>626373.24750000006</v>
      </c>
    </row>
    <row r="611" spans="1:5" ht="15.65" x14ac:dyDescent="0.3">
      <c r="A611" s="83"/>
      <c r="B611" s="83"/>
      <c r="C611" s="82">
        <v>0</v>
      </c>
      <c r="D611" s="82">
        <f t="shared" si="23"/>
        <v>0</v>
      </c>
      <c r="E611" s="82">
        <f t="shared" si="23"/>
        <v>0</v>
      </c>
    </row>
    <row r="612" spans="1:5" ht="15.65" x14ac:dyDescent="0.3">
      <c r="A612" s="80">
        <v>3110900</v>
      </c>
      <c r="B612" s="80" t="s">
        <v>271</v>
      </c>
      <c r="C612" s="82">
        <v>0</v>
      </c>
      <c r="D612" s="82">
        <f t="shared" si="23"/>
        <v>0</v>
      </c>
      <c r="E612" s="82">
        <f t="shared" si="23"/>
        <v>0</v>
      </c>
    </row>
    <row r="613" spans="1:5" ht="15.65" x14ac:dyDescent="0.3">
      <c r="A613" s="83" t="s">
        <v>272</v>
      </c>
      <c r="B613" s="83" t="s">
        <v>273</v>
      </c>
      <c r="C613" s="82">
        <v>0</v>
      </c>
      <c r="D613" s="82">
        <f t="shared" si="23"/>
        <v>0</v>
      </c>
      <c r="E613" s="82">
        <f t="shared" si="23"/>
        <v>0</v>
      </c>
    </row>
    <row r="614" spans="1:5" ht="15.65" x14ac:dyDescent="0.3">
      <c r="A614" s="80" t="s">
        <v>274</v>
      </c>
      <c r="B614" s="80" t="s">
        <v>82</v>
      </c>
      <c r="C614" s="82"/>
      <c r="D614" s="82">
        <f t="shared" si="23"/>
        <v>0</v>
      </c>
      <c r="E614" s="82">
        <f t="shared" si="23"/>
        <v>0</v>
      </c>
    </row>
    <row r="615" spans="1:5" ht="15.65" x14ac:dyDescent="0.3">
      <c r="A615" s="83" t="s">
        <v>153</v>
      </c>
      <c r="B615" s="83" t="s">
        <v>83</v>
      </c>
      <c r="C615" s="82">
        <v>0</v>
      </c>
      <c r="D615" s="82">
        <f t="shared" ref="D615:E623" si="24">C615*1.05</f>
        <v>0</v>
      </c>
      <c r="E615" s="82">
        <f t="shared" si="24"/>
        <v>0</v>
      </c>
    </row>
    <row r="616" spans="1:5" ht="15.65" x14ac:dyDescent="0.3">
      <c r="A616" s="83" t="s">
        <v>275</v>
      </c>
      <c r="B616" s="83" t="s">
        <v>84</v>
      </c>
      <c r="C616" s="82">
        <v>0</v>
      </c>
      <c r="D616" s="82">
        <f t="shared" si="24"/>
        <v>0</v>
      </c>
      <c r="E616" s="82">
        <f t="shared" si="24"/>
        <v>0</v>
      </c>
    </row>
    <row r="617" spans="1:5" ht="15.65" x14ac:dyDescent="0.3">
      <c r="A617" s="83" t="s">
        <v>276</v>
      </c>
      <c r="B617" s="12" t="s">
        <v>750</v>
      </c>
      <c r="C617" s="82">
        <v>0</v>
      </c>
      <c r="D617" s="82">
        <f t="shared" si="24"/>
        <v>0</v>
      </c>
      <c r="E617" s="82">
        <f t="shared" si="24"/>
        <v>0</v>
      </c>
    </row>
    <row r="618" spans="1:5" ht="15.65" x14ac:dyDescent="0.3">
      <c r="A618" s="12">
        <v>3110701</v>
      </c>
      <c r="B618" s="83" t="s">
        <v>277</v>
      </c>
      <c r="C618" s="82">
        <v>0</v>
      </c>
      <c r="D618" s="82">
        <f t="shared" si="24"/>
        <v>0</v>
      </c>
      <c r="E618" s="82">
        <f t="shared" si="24"/>
        <v>0</v>
      </c>
    </row>
    <row r="619" spans="1:5" ht="15.65" x14ac:dyDescent="0.3">
      <c r="A619" s="80" t="s">
        <v>278</v>
      </c>
      <c r="B619" s="80" t="s">
        <v>279</v>
      </c>
      <c r="C619" s="82">
        <v>0</v>
      </c>
      <c r="D619" s="82">
        <f t="shared" si="24"/>
        <v>0</v>
      </c>
      <c r="E619" s="82">
        <f t="shared" si="24"/>
        <v>0</v>
      </c>
    </row>
    <row r="620" spans="1:5" ht="15.65" x14ac:dyDescent="0.3">
      <c r="A620" s="83" t="s">
        <v>280</v>
      </c>
      <c r="B620" s="83" t="s">
        <v>281</v>
      </c>
      <c r="C620" s="82">
        <v>0</v>
      </c>
      <c r="D620" s="82">
        <f t="shared" si="24"/>
        <v>0</v>
      </c>
      <c r="E620" s="82">
        <f t="shared" si="24"/>
        <v>0</v>
      </c>
    </row>
    <row r="621" spans="1:5" ht="31.25" x14ac:dyDescent="0.3">
      <c r="A621" s="83" t="s">
        <v>282</v>
      </c>
      <c r="B621" s="83" t="s">
        <v>283</v>
      </c>
      <c r="C621" s="82">
        <v>0</v>
      </c>
      <c r="D621" s="82">
        <f t="shared" si="24"/>
        <v>0</v>
      </c>
      <c r="E621" s="82">
        <f t="shared" si="24"/>
        <v>0</v>
      </c>
    </row>
    <row r="622" spans="1:5" ht="15.65" x14ac:dyDescent="0.3">
      <c r="A622" s="83">
        <v>3111403</v>
      </c>
      <c r="B622" s="83" t="s">
        <v>284</v>
      </c>
      <c r="C622" s="82">
        <v>0</v>
      </c>
      <c r="D622" s="82">
        <f t="shared" si="24"/>
        <v>0</v>
      </c>
      <c r="E622" s="82">
        <f t="shared" si="24"/>
        <v>0</v>
      </c>
    </row>
    <row r="623" spans="1:5" ht="31.25" x14ac:dyDescent="0.3">
      <c r="A623" s="83"/>
      <c r="B623" s="80" t="s">
        <v>908</v>
      </c>
      <c r="C623" s="78">
        <f>C550+C553+C557+C565+C575+C580+C590+C594+C597+C603+C605+C612</f>
        <v>29537736</v>
      </c>
      <c r="D623" s="86">
        <f t="shared" si="24"/>
        <v>31014622.800000001</v>
      </c>
      <c r="E623" s="86">
        <f t="shared" si="24"/>
        <v>32565353.940000001</v>
      </c>
    </row>
    <row r="624" spans="1:5" ht="15.65" x14ac:dyDescent="0.3">
      <c r="A624" s="83"/>
      <c r="B624" s="83"/>
      <c r="C624" s="81"/>
      <c r="D624" s="82"/>
      <c r="E624" s="82"/>
    </row>
    <row r="625" spans="1:5" ht="15.65" x14ac:dyDescent="0.3">
      <c r="A625" s="148"/>
      <c r="B625" s="380" t="s">
        <v>897</v>
      </c>
      <c r="C625" s="81"/>
      <c r="D625" s="82"/>
      <c r="E625" s="82"/>
    </row>
    <row r="626" spans="1:5" ht="15.65" x14ac:dyDescent="0.3">
      <c r="A626" s="339">
        <v>3110599</v>
      </c>
      <c r="B626" s="393" t="s">
        <v>699</v>
      </c>
      <c r="C626" s="81">
        <v>0</v>
      </c>
      <c r="D626" s="81">
        <v>0</v>
      </c>
      <c r="E626" s="81">
        <v>0</v>
      </c>
    </row>
    <row r="627" spans="1:5" ht="15.65" x14ac:dyDescent="0.3">
      <c r="A627" s="76">
        <v>3110504</v>
      </c>
      <c r="B627" s="147" t="s">
        <v>583</v>
      </c>
      <c r="C627" s="81">
        <v>0</v>
      </c>
      <c r="D627" s="81">
        <v>0</v>
      </c>
      <c r="E627" s="81">
        <v>0</v>
      </c>
    </row>
    <row r="628" spans="1:5" ht="15.65" x14ac:dyDescent="0.3">
      <c r="A628" s="347" t="s">
        <v>272</v>
      </c>
      <c r="B628" s="357" t="s">
        <v>273</v>
      </c>
      <c r="C628" s="81">
        <v>0</v>
      </c>
      <c r="D628" s="81">
        <v>0</v>
      </c>
      <c r="E628" s="81">
        <v>0</v>
      </c>
    </row>
    <row r="629" spans="1:5" ht="15.65" x14ac:dyDescent="0.3">
      <c r="A629" s="76">
        <v>2410104</v>
      </c>
      <c r="B629" s="147" t="s">
        <v>749</v>
      </c>
      <c r="C629" s="81">
        <v>0</v>
      </c>
      <c r="D629" s="81">
        <v>0</v>
      </c>
      <c r="E629" s="81">
        <v>0</v>
      </c>
    </row>
    <row r="630" spans="1:5" ht="15.65" x14ac:dyDescent="0.3">
      <c r="A630" s="339">
        <v>2410104</v>
      </c>
      <c r="B630" s="339" t="s">
        <v>245</v>
      </c>
      <c r="C630" s="81">
        <v>0</v>
      </c>
      <c r="D630" s="81">
        <v>0</v>
      </c>
      <c r="E630" s="81">
        <v>0</v>
      </c>
    </row>
    <row r="631" spans="1:5" ht="31.25" x14ac:dyDescent="0.3">
      <c r="A631" s="148"/>
      <c r="B631" s="380" t="s">
        <v>909</v>
      </c>
      <c r="C631" s="81">
        <v>0</v>
      </c>
      <c r="D631" s="81">
        <v>0</v>
      </c>
      <c r="E631" s="81">
        <v>0</v>
      </c>
    </row>
    <row r="632" spans="1:5" ht="31.25" x14ac:dyDescent="0.3">
      <c r="A632" s="148"/>
      <c r="B632" s="380" t="s">
        <v>910</v>
      </c>
      <c r="C632" s="78">
        <f>C623+C631</f>
        <v>29537736</v>
      </c>
      <c r="D632" s="78">
        <f t="shared" ref="D632:E632" si="25">D623+D631</f>
        <v>31014622.800000001</v>
      </c>
      <c r="E632" s="78">
        <f t="shared" si="25"/>
        <v>32565353.940000001</v>
      </c>
    </row>
    <row r="633" spans="1:5" ht="15.65" x14ac:dyDescent="0.3">
      <c r="A633" s="148"/>
      <c r="B633" s="148"/>
      <c r="C633" s="148"/>
      <c r="D633" s="148"/>
      <c r="E633" s="148"/>
    </row>
    <row r="634" spans="1:5" ht="15.65" x14ac:dyDescent="0.3">
      <c r="A634" s="148"/>
      <c r="B634" s="148"/>
      <c r="C634" s="148"/>
      <c r="D634" s="148"/>
      <c r="E634" s="148"/>
    </row>
    <row r="635" spans="1:5" ht="15.65" x14ac:dyDescent="0.3">
      <c r="A635" s="83"/>
      <c r="B635" s="83"/>
      <c r="C635" s="78"/>
      <c r="D635" s="82"/>
      <c r="E635" s="82">
        <f>D635*1.05</f>
        <v>0</v>
      </c>
    </row>
    <row r="636" spans="1:5" ht="31.25" x14ac:dyDescent="0.3">
      <c r="A636" s="78"/>
      <c r="B636" s="78" t="s">
        <v>296</v>
      </c>
      <c r="C636" s="79" t="s">
        <v>183</v>
      </c>
      <c r="D636" s="79" t="s">
        <v>746</v>
      </c>
      <c r="E636" s="79" t="s">
        <v>791</v>
      </c>
    </row>
    <row r="637" spans="1:5" ht="15.65" x14ac:dyDescent="0.3">
      <c r="A637" s="335" t="s">
        <v>192</v>
      </c>
      <c r="B637" s="335" t="s">
        <v>23</v>
      </c>
      <c r="C637" s="337">
        <f>C638+C639</f>
        <v>1009673</v>
      </c>
      <c r="D637" s="86">
        <f t="shared" ref="D637:E652" si="26">C637*1.05</f>
        <v>1060156.6500000001</v>
      </c>
      <c r="E637" s="86">
        <f t="shared" si="26"/>
        <v>1113164.4825000002</v>
      </c>
    </row>
    <row r="638" spans="1:5" ht="15.65" x14ac:dyDescent="0.3">
      <c r="A638" s="339" t="s">
        <v>101</v>
      </c>
      <c r="B638" s="339" t="s">
        <v>102</v>
      </c>
      <c r="C638" s="374">
        <v>604673</v>
      </c>
      <c r="D638" s="82">
        <f t="shared" si="26"/>
        <v>634906.65</v>
      </c>
      <c r="E638" s="82">
        <f t="shared" si="26"/>
        <v>666651.98250000004</v>
      </c>
    </row>
    <row r="639" spans="1:5" ht="15.65" x14ac:dyDescent="0.3">
      <c r="A639" s="339" t="s">
        <v>103</v>
      </c>
      <c r="B639" s="339" t="s">
        <v>104</v>
      </c>
      <c r="C639" s="374">
        <v>405000</v>
      </c>
      <c r="D639" s="82">
        <f t="shared" si="26"/>
        <v>425250</v>
      </c>
      <c r="E639" s="82">
        <f t="shared" si="26"/>
        <v>446512.5</v>
      </c>
    </row>
    <row r="640" spans="1:5" ht="15.65" x14ac:dyDescent="0.3">
      <c r="A640" s="335" t="s">
        <v>193</v>
      </c>
      <c r="B640" s="335" t="s">
        <v>194</v>
      </c>
      <c r="C640" s="337">
        <f>C641+C642+C643</f>
        <v>113500</v>
      </c>
      <c r="D640" s="86">
        <f t="shared" si="26"/>
        <v>119175</v>
      </c>
      <c r="E640" s="86">
        <f t="shared" si="26"/>
        <v>125133.75</v>
      </c>
    </row>
    <row r="641" spans="1:5" ht="15.65" x14ac:dyDescent="0.3">
      <c r="A641" s="339" t="s">
        <v>105</v>
      </c>
      <c r="B641" s="339" t="s">
        <v>106</v>
      </c>
      <c r="C641" s="374">
        <v>71500</v>
      </c>
      <c r="D641" s="82">
        <f t="shared" si="26"/>
        <v>75075</v>
      </c>
      <c r="E641" s="82">
        <f t="shared" si="26"/>
        <v>78828.75</v>
      </c>
    </row>
    <row r="642" spans="1:5" ht="15.65" x14ac:dyDescent="0.3">
      <c r="A642" s="339" t="s">
        <v>107</v>
      </c>
      <c r="B642" s="339" t="s">
        <v>108</v>
      </c>
      <c r="C642" s="374">
        <v>42000</v>
      </c>
      <c r="D642" s="82">
        <f t="shared" si="26"/>
        <v>44100</v>
      </c>
      <c r="E642" s="82">
        <f t="shared" si="26"/>
        <v>46305</v>
      </c>
    </row>
    <row r="643" spans="1:5" ht="15.65" x14ac:dyDescent="0.3">
      <c r="A643" s="339" t="s">
        <v>109</v>
      </c>
      <c r="B643" s="339" t="s">
        <v>29</v>
      </c>
      <c r="C643" s="374">
        <v>0</v>
      </c>
      <c r="D643" s="82">
        <f t="shared" si="26"/>
        <v>0</v>
      </c>
      <c r="E643" s="82">
        <f t="shared" si="26"/>
        <v>0</v>
      </c>
    </row>
    <row r="644" spans="1:5" ht="31.25" x14ac:dyDescent="0.3">
      <c r="A644" s="335" t="s">
        <v>195</v>
      </c>
      <c r="B644" s="335" t="s">
        <v>30</v>
      </c>
      <c r="C644" s="365">
        <f>C645+C646+C647</f>
        <v>515500</v>
      </c>
      <c r="D644" s="366">
        <f t="shared" si="26"/>
        <v>541275</v>
      </c>
      <c r="E644" s="366">
        <f t="shared" si="26"/>
        <v>568338.75</v>
      </c>
    </row>
    <row r="645" spans="1:5" ht="31.25" x14ac:dyDescent="0.3">
      <c r="A645" s="339" t="s">
        <v>110</v>
      </c>
      <c r="B645" s="339" t="s">
        <v>111</v>
      </c>
      <c r="C645" s="374">
        <v>85000</v>
      </c>
      <c r="D645" s="82">
        <f t="shared" si="26"/>
        <v>89250</v>
      </c>
      <c r="E645" s="82">
        <f t="shared" si="26"/>
        <v>93712.5</v>
      </c>
    </row>
    <row r="646" spans="1:5" ht="15.65" x14ac:dyDescent="0.3">
      <c r="A646" s="339" t="s">
        <v>112</v>
      </c>
      <c r="B646" s="339" t="s">
        <v>113</v>
      </c>
      <c r="C646" s="374">
        <v>10500</v>
      </c>
      <c r="D646" s="82">
        <f t="shared" si="26"/>
        <v>11025</v>
      </c>
      <c r="E646" s="82">
        <f t="shared" si="26"/>
        <v>11576.25</v>
      </c>
    </row>
    <row r="647" spans="1:5" ht="15.65" x14ac:dyDescent="0.3">
      <c r="A647" s="339" t="s">
        <v>114</v>
      </c>
      <c r="B647" s="339" t="s">
        <v>115</v>
      </c>
      <c r="C647" s="374">
        <v>420000</v>
      </c>
      <c r="D647" s="82">
        <f t="shared" si="26"/>
        <v>441000</v>
      </c>
      <c r="E647" s="82">
        <f t="shared" si="26"/>
        <v>463050</v>
      </c>
    </row>
    <row r="648" spans="1:5" ht="31.25" x14ac:dyDescent="0.3">
      <c r="A648" s="335" t="s">
        <v>117</v>
      </c>
      <c r="B648" s="335" t="s">
        <v>118</v>
      </c>
      <c r="C648" s="342">
        <f>SUM(C649:C651)</f>
        <v>0</v>
      </c>
      <c r="D648" s="82">
        <f t="shared" si="26"/>
        <v>0</v>
      </c>
      <c r="E648" s="82">
        <f t="shared" si="26"/>
        <v>0</v>
      </c>
    </row>
    <row r="649" spans="1:5" ht="15.65" x14ac:dyDescent="0.3">
      <c r="A649" s="339" t="s">
        <v>119</v>
      </c>
      <c r="B649" s="339" t="s">
        <v>120</v>
      </c>
      <c r="C649" s="374">
        <v>0</v>
      </c>
      <c r="D649" s="82">
        <f t="shared" si="26"/>
        <v>0</v>
      </c>
      <c r="E649" s="82">
        <f t="shared" si="26"/>
        <v>0</v>
      </c>
    </row>
    <row r="650" spans="1:5" ht="15.65" x14ac:dyDescent="0.3">
      <c r="A650" s="339" t="s">
        <v>197</v>
      </c>
      <c r="B650" s="339" t="s">
        <v>198</v>
      </c>
      <c r="C650" s="374">
        <v>0</v>
      </c>
      <c r="D650" s="82">
        <f t="shared" si="26"/>
        <v>0</v>
      </c>
      <c r="E650" s="82">
        <f t="shared" si="26"/>
        <v>0</v>
      </c>
    </row>
    <row r="651" spans="1:5" ht="15.65" x14ac:dyDescent="0.3">
      <c r="A651" s="339" t="s">
        <v>121</v>
      </c>
      <c r="B651" s="339" t="s">
        <v>115</v>
      </c>
      <c r="C651" s="374">
        <v>0</v>
      </c>
      <c r="D651" s="82">
        <f t="shared" si="26"/>
        <v>0</v>
      </c>
      <c r="E651" s="82">
        <f t="shared" si="26"/>
        <v>0</v>
      </c>
    </row>
    <row r="652" spans="1:5" ht="31.25" x14ac:dyDescent="0.3">
      <c r="A652" s="335" t="s">
        <v>199</v>
      </c>
      <c r="B652" s="335" t="s">
        <v>38</v>
      </c>
      <c r="C652" s="337">
        <f>SUM(C653:C656)</f>
        <v>120000</v>
      </c>
      <c r="D652" s="86">
        <f t="shared" si="26"/>
        <v>126000</v>
      </c>
      <c r="E652" s="86">
        <f t="shared" si="26"/>
        <v>132300</v>
      </c>
    </row>
    <row r="653" spans="1:5" ht="15.65" x14ac:dyDescent="0.3">
      <c r="A653" s="339" t="s">
        <v>200</v>
      </c>
      <c r="B653" s="339" t="s">
        <v>201</v>
      </c>
      <c r="C653" s="374">
        <v>120000</v>
      </c>
      <c r="D653" s="82">
        <f t="shared" ref="D653:E709" si="27">C653*1.05</f>
        <v>126000</v>
      </c>
      <c r="E653" s="82">
        <f t="shared" si="27"/>
        <v>132300</v>
      </c>
    </row>
    <row r="654" spans="1:5" ht="15.65" x14ac:dyDescent="0.3">
      <c r="A654" s="339" t="s">
        <v>122</v>
      </c>
      <c r="B654" s="339" t="s">
        <v>123</v>
      </c>
      <c r="C654" s="374">
        <v>0</v>
      </c>
      <c r="D654" s="82">
        <f t="shared" si="27"/>
        <v>0</v>
      </c>
      <c r="E654" s="82">
        <f t="shared" si="27"/>
        <v>0</v>
      </c>
    </row>
    <row r="655" spans="1:5" ht="15.65" x14ac:dyDescent="0.3">
      <c r="A655" s="339" t="s">
        <v>124</v>
      </c>
      <c r="B655" s="339" t="s">
        <v>125</v>
      </c>
      <c r="C655" s="374">
        <v>0</v>
      </c>
      <c r="D655" s="82">
        <f t="shared" si="27"/>
        <v>0</v>
      </c>
      <c r="E655" s="82">
        <f t="shared" si="27"/>
        <v>0</v>
      </c>
    </row>
    <row r="656" spans="1:5" ht="15.65" x14ac:dyDescent="0.3">
      <c r="A656" s="339" t="s">
        <v>202</v>
      </c>
      <c r="B656" s="339" t="s">
        <v>41</v>
      </c>
      <c r="C656" s="374">
        <v>0</v>
      </c>
      <c r="D656" s="82">
        <f t="shared" si="27"/>
        <v>0</v>
      </c>
      <c r="E656" s="82">
        <f t="shared" si="27"/>
        <v>0</v>
      </c>
    </row>
    <row r="657" spans="1:5" ht="15.65" x14ac:dyDescent="0.3">
      <c r="A657" s="335" t="s">
        <v>259</v>
      </c>
      <c r="B657" s="335" t="s">
        <v>42</v>
      </c>
      <c r="C657" s="342">
        <f>C658</f>
        <v>0</v>
      </c>
      <c r="D657" s="82">
        <f t="shared" si="27"/>
        <v>0</v>
      </c>
      <c r="E657" s="82">
        <f t="shared" si="27"/>
        <v>0</v>
      </c>
    </row>
    <row r="658" spans="1:5" ht="15.65" x14ac:dyDescent="0.3">
      <c r="A658" s="339" t="s">
        <v>260</v>
      </c>
      <c r="B658" s="339" t="s">
        <v>43</v>
      </c>
      <c r="C658" s="374">
        <v>0</v>
      </c>
      <c r="D658" s="82">
        <f t="shared" si="27"/>
        <v>0</v>
      </c>
      <c r="E658" s="82">
        <f t="shared" si="27"/>
        <v>0</v>
      </c>
    </row>
    <row r="659" spans="1:5" ht="15.65" x14ac:dyDescent="0.3">
      <c r="A659" s="335" t="s">
        <v>203</v>
      </c>
      <c r="B659" s="335" t="s">
        <v>45</v>
      </c>
      <c r="C659" s="342">
        <f>SUM(C660:C661)</f>
        <v>0</v>
      </c>
      <c r="D659" s="82">
        <f t="shared" si="27"/>
        <v>0</v>
      </c>
      <c r="E659" s="82">
        <f t="shared" si="27"/>
        <v>0</v>
      </c>
    </row>
    <row r="660" spans="1:5" ht="15.65" x14ac:dyDescent="0.3">
      <c r="A660" s="339" t="s">
        <v>127</v>
      </c>
      <c r="B660" s="339" t="s">
        <v>128</v>
      </c>
      <c r="C660" s="374">
        <v>0</v>
      </c>
      <c r="D660" s="82">
        <f t="shared" si="27"/>
        <v>0</v>
      </c>
      <c r="E660" s="82">
        <f t="shared" si="27"/>
        <v>0</v>
      </c>
    </row>
    <row r="661" spans="1:5" ht="15.65" x14ac:dyDescent="0.3">
      <c r="A661" s="339" t="s">
        <v>129</v>
      </c>
      <c r="B661" s="339" t="s">
        <v>130</v>
      </c>
      <c r="C661" s="374">
        <v>0</v>
      </c>
      <c r="D661" s="82">
        <f t="shared" si="27"/>
        <v>0</v>
      </c>
      <c r="E661" s="82">
        <f t="shared" si="27"/>
        <v>0</v>
      </c>
    </row>
    <row r="662" spans="1:5" ht="15.65" x14ac:dyDescent="0.3">
      <c r="A662" s="335" t="s">
        <v>205</v>
      </c>
      <c r="B662" s="335" t="s">
        <v>48</v>
      </c>
      <c r="C662" s="337">
        <f>SUM(C663:C664)</f>
        <v>790000</v>
      </c>
      <c r="D662" s="86">
        <f t="shared" si="27"/>
        <v>829500</v>
      </c>
      <c r="E662" s="86">
        <f t="shared" si="27"/>
        <v>870975</v>
      </c>
    </row>
    <row r="663" spans="1:5" ht="31.25" x14ac:dyDescent="0.3">
      <c r="A663" s="339" t="s">
        <v>131</v>
      </c>
      <c r="B663" s="339" t="s">
        <v>206</v>
      </c>
      <c r="C663" s="374">
        <v>170000</v>
      </c>
      <c r="D663" s="82">
        <f t="shared" si="27"/>
        <v>178500</v>
      </c>
      <c r="E663" s="82">
        <f t="shared" si="27"/>
        <v>187425</v>
      </c>
    </row>
    <row r="664" spans="1:5" ht="15.65" x14ac:dyDescent="0.3">
      <c r="A664" s="339" t="s">
        <v>133</v>
      </c>
      <c r="B664" s="339" t="s">
        <v>207</v>
      </c>
      <c r="C664" s="374">
        <v>620000</v>
      </c>
      <c r="D664" s="82">
        <f t="shared" si="27"/>
        <v>651000</v>
      </c>
      <c r="E664" s="82">
        <f t="shared" si="27"/>
        <v>683550</v>
      </c>
    </row>
    <row r="665" spans="1:5" ht="15.65" x14ac:dyDescent="0.3">
      <c r="A665" s="335" t="s">
        <v>208</v>
      </c>
      <c r="B665" s="335" t="s">
        <v>209</v>
      </c>
      <c r="C665" s="342">
        <f>C666</f>
        <v>0</v>
      </c>
      <c r="D665" s="82">
        <f t="shared" si="27"/>
        <v>0</v>
      </c>
      <c r="E665" s="82">
        <f t="shared" si="27"/>
        <v>0</v>
      </c>
    </row>
    <row r="666" spans="1:5" ht="15.65" x14ac:dyDescent="0.3">
      <c r="A666" s="339" t="s">
        <v>210</v>
      </c>
      <c r="B666" s="339" t="s">
        <v>66</v>
      </c>
      <c r="C666" s="374">
        <v>0</v>
      </c>
      <c r="D666" s="82">
        <f t="shared" si="27"/>
        <v>0</v>
      </c>
      <c r="E666" s="82">
        <f t="shared" si="27"/>
        <v>0</v>
      </c>
    </row>
    <row r="667" spans="1:5" ht="15.65" x14ac:dyDescent="0.3">
      <c r="A667" s="335" t="s">
        <v>211</v>
      </c>
      <c r="B667" s="335" t="s">
        <v>51</v>
      </c>
      <c r="C667" s="337">
        <f>SUM(C668:C676)</f>
        <v>12819860.080287792</v>
      </c>
      <c r="D667" s="86">
        <f t="shared" si="27"/>
        <v>13460853.084302181</v>
      </c>
      <c r="E667" s="86">
        <f t="shared" si="27"/>
        <v>14133895.738517292</v>
      </c>
    </row>
    <row r="668" spans="1:5" ht="15.65" x14ac:dyDescent="0.3">
      <c r="A668" s="339" t="s">
        <v>212</v>
      </c>
      <c r="B668" s="339" t="s">
        <v>213</v>
      </c>
      <c r="C668" s="374">
        <v>3000000</v>
      </c>
      <c r="D668" s="82">
        <f t="shared" si="27"/>
        <v>3150000</v>
      </c>
      <c r="E668" s="82">
        <f t="shared" si="27"/>
        <v>3307500</v>
      </c>
    </row>
    <row r="669" spans="1:5" ht="15.65" x14ac:dyDescent="0.3">
      <c r="A669" s="339" t="s">
        <v>214</v>
      </c>
      <c r="B669" s="339" t="s">
        <v>215</v>
      </c>
      <c r="C669" s="374">
        <v>3071778</v>
      </c>
      <c r="D669" s="82">
        <f t="shared" si="27"/>
        <v>3225366.9</v>
      </c>
      <c r="E669" s="82">
        <f t="shared" si="27"/>
        <v>3386635.2450000001</v>
      </c>
    </row>
    <row r="670" spans="1:5" ht="15.65" x14ac:dyDescent="0.3">
      <c r="A670" s="339" t="s">
        <v>216</v>
      </c>
      <c r="B670" s="339" t="s">
        <v>217</v>
      </c>
      <c r="C670" s="374">
        <v>289500</v>
      </c>
      <c r="D670" s="82">
        <f t="shared" si="27"/>
        <v>303975</v>
      </c>
      <c r="E670" s="82">
        <f t="shared" si="27"/>
        <v>319173.75</v>
      </c>
    </row>
    <row r="671" spans="1:5" ht="15.65" x14ac:dyDescent="0.3">
      <c r="A671" s="339" t="s">
        <v>261</v>
      </c>
      <c r="B671" s="339" t="s">
        <v>218</v>
      </c>
      <c r="C671" s="374">
        <v>122724.0802877914</v>
      </c>
      <c r="D671" s="82">
        <f t="shared" si="27"/>
        <v>128860.28430218097</v>
      </c>
      <c r="E671" s="82">
        <f t="shared" si="27"/>
        <v>135303.29851729001</v>
      </c>
    </row>
    <row r="672" spans="1:5" ht="15.65" x14ac:dyDescent="0.3">
      <c r="A672" s="339" t="s">
        <v>219</v>
      </c>
      <c r="B672" s="339" t="s">
        <v>220</v>
      </c>
      <c r="C672" s="374">
        <v>2100858</v>
      </c>
      <c r="D672" s="82">
        <f t="shared" si="27"/>
        <v>2205900.9</v>
      </c>
      <c r="E672" s="82">
        <f t="shared" si="27"/>
        <v>2316195.9449999998</v>
      </c>
    </row>
    <row r="673" spans="1:5" ht="15.65" x14ac:dyDescent="0.3">
      <c r="A673" s="339" t="s">
        <v>221</v>
      </c>
      <c r="B673" s="339" t="s">
        <v>222</v>
      </c>
      <c r="C673" s="374">
        <v>2250000</v>
      </c>
      <c r="D673" s="82">
        <f t="shared" si="27"/>
        <v>2362500</v>
      </c>
      <c r="E673" s="82">
        <f t="shared" si="27"/>
        <v>2480625</v>
      </c>
    </row>
    <row r="674" spans="1:5" ht="15.65" x14ac:dyDescent="0.3">
      <c r="A674" s="339" t="s">
        <v>262</v>
      </c>
      <c r="B674" s="339" t="s">
        <v>55</v>
      </c>
      <c r="C674" s="374">
        <v>785000</v>
      </c>
      <c r="D674" s="82">
        <f t="shared" si="27"/>
        <v>824250</v>
      </c>
      <c r="E674" s="82">
        <f t="shared" si="27"/>
        <v>865462.5</v>
      </c>
    </row>
    <row r="675" spans="1:5" ht="15.65" x14ac:dyDescent="0.3">
      <c r="A675" s="339" t="s">
        <v>223</v>
      </c>
      <c r="B675" s="339" t="s">
        <v>224</v>
      </c>
      <c r="C675" s="374">
        <v>1200000</v>
      </c>
      <c r="D675" s="82">
        <f t="shared" si="27"/>
        <v>1260000</v>
      </c>
      <c r="E675" s="82">
        <f t="shared" si="27"/>
        <v>1323000</v>
      </c>
    </row>
    <row r="676" spans="1:5" ht="15.65" x14ac:dyDescent="0.3">
      <c r="A676" s="339" t="s">
        <v>225</v>
      </c>
      <c r="B676" s="339" t="s">
        <v>263</v>
      </c>
      <c r="C676" s="374">
        <v>0</v>
      </c>
      <c r="D676" s="82">
        <f t="shared" si="27"/>
        <v>0</v>
      </c>
      <c r="E676" s="82">
        <f t="shared" si="27"/>
        <v>0</v>
      </c>
    </row>
    <row r="677" spans="1:5" ht="15.65" x14ac:dyDescent="0.3">
      <c r="A677" s="335" t="s">
        <v>227</v>
      </c>
      <c r="B677" s="335" t="s">
        <v>56</v>
      </c>
      <c r="C677" s="337">
        <f>C678+C679+C680</f>
        <v>428222.11024482839</v>
      </c>
      <c r="D677" s="86">
        <f t="shared" si="27"/>
        <v>449633.21575706982</v>
      </c>
      <c r="E677" s="86">
        <f t="shared" si="27"/>
        <v>472114.87654492335</v>
      </c>
    </row>
    <row r="678" spans="1:5" ht="31.25" x14ac:dyDescent="0.3">
      <c r="A678" s="339" t="s">
        <v>138</v>
      </c>
      <c r="B678" s="339" t="s">
        <v>228</v>
      </c>
      <c r="C678" s="374">
        <v>215000</v>
      </c>
      <c r="D678" s="82">
        <f t="shared" si="27"/>
        <v>225750</v>
      </c>
      <c r="E678" s="82">
        <f t="shared" si="27"/>
        <v>237037.5</v>
      </c>
    </row>
    <row r="679" spans="1:5" ht="15.65" x14ac:dyDescent="0.3">
      <c r="A679" s="339" t="s">
        <v>229</v>
      </c>
      <c r="B679" s="339" t="s">
        <v>58</v>
      </c>
      <c r="C679" s="374">
        <v>87222.110244828364</v>
      </c>
      <c r="D679" s="82">
        <f t="shared" si="27"/>
        <v>91583.215757069789</v>
      </c>
      <c r="E679" s="82">
        <f t="shared" si="27"/>
        <v>96162.376544923289</v>
      </c>
    </row>
    <row r="680" spans="1:5" ht="15.65" x14ac:dyDescent="0.3">
      <c r="A680" s="339" t="s">
        <v>140</v>
      </c>
      <c r="B680" s="339" t="s">
        <v>230</v>
      </c>
      <c r="C680" s="374">
        <v>126000</v>
      </c>
      <c r="D680" s="82">
        <f t="shared" si="27"/>
        <v>132300</v>
      </c>
      <c r="E680" s="82">
        <f t="shared" si="27"/>
        <v>138915</v>
      </c>
    </row>
    <row r="681" spans="1:5" ht="15.65" x14ac:dyDescent="0.3">
      <c r="A681" s="335" t="s">
        <v>231</v>
      </c>
      <c r="B681" s="335" t="s">
        <v>60</v>
      </c>
      <c r="C681" s="337">
        <f>SUM(C682:C683)</f>
        <v>549600</v>
      </c>
      <c r="D681" s="86">
        <f t="shared" si="27"/>
        <v>577080</v>
      </c>
      <c r="E681" s="86">
        <f t="shared" si="27"/>
        <v>605934</v>
      </c>
    </row>
    <row r="682" spans="1:5" ht="15.65" x14ac:dyDescent="0.3">
      <c r="A682" s="339" t="s">
        <v>142</v>
      </c>
      <c r="B682" s="339" t="s">
        <v>143</v>
      </c>
      <c r="C682" s="374">
        <v>284000</v>
      </c>
      <c r="D682" s="82">
        <f t="shared" si="27"/>
        <v>298200</v>
      </c>
      <c r="E682" s="82">
        <f t="shared" si="27"/>
        <v>313110</v>
      </c>
    </row>
    <row r="683" spans="1:5" x14ac:dyDescent="0.35">
      <c r="A683" s="339" t="s">
        <v>232</v>
      </c>
      <c r="B683" s="339" t="s">
        <v>264</v>
      </c>
      <c r="C683" s="374">
        <v>265600</v>
      </c>
      <c r="D683" s="82">
        <f t="shared" si="27"/>
        <v>278880</v>
      </c>
      <c r="E683" s="82">
        <f t="shared" si="27"/>
        <v>292824</v>
      </c>
    </row>
    <row r="684" spans="1:5" ht="15.65" x14ac:dyDescent="0.3">
      <c r="A684" s="335" t="s">
        <v>234</v>
      </c>
      <c r="B684" s="335" t="s">
        <v>62</v>
      </c>
      <c r="C684" s="330">
        <f>SUM(C685:C690)</f>
        <v>283817.64704630559</v>
      </c>
      <c r="D684" s="86">
        <f t="shared" si="27"/>
        <v>298008.52939862089</v>
      </c>
      <c r="E684" s="86">
        <f t="shared" si="27"/>
        <v>312908.95586855192</v>
      </c>
    </row>
    <row r="685" spans="1:5" ht="15.65" x14ac:dyDescent="0.3">
      <c r="A685" s="339" t="s">
        <v>265</v>
      </c>
      <c r="B685" s="339" t="s">
        <v>266</v>
      </c>
      <c r="C685" s="374">
        <v>22151.647046305618</v>
      </c>
      <c r="D685" s="82">
        <f t="shared" si="27"/>
        <v>23259.229398620901</v>
      </c>
      <c r="E685" s="82">
        <f t="shared" si="27"/>
        <v>24422.190868551948</v>
      </c>
    </row>
    <row r="686" spans="1:5" ht="15.65" x14ac:dyDescent="0.3">
      <c r="A686" s="339" t="s">
        <v>235</v>
      </c>
      <c r="B686" s="339" t="s">
        <v>267</v>
      </c>
      <c r="C686" s="374">
        <v>261666</v>
      </c>
      <c r="D686" s="82">
        <f t="shared" si="27"/>
        <v>274749.3</v>
      </c>
      <c r="E686" s="82">
        <f t="shared" si="27"/>
        <v>288486.76500000001</v>
      </c>
    </row>
    <row r="687" spans="1:5" ht="15.65" x14ac:dyDescent="0.3">
      <c r="A687" s="339" t="s">
        <v>144</v>
      </c>
      <c r="B687" s="339" t="s">
        <v>64</v>
      </c>
      <c r="C687" s="374">
        <v>0</v>
      </c>
      <c r="D687" s="82">
        <f t="shared" si="27"/>
        <v>0</v>
      </c>
      <c r="E687" s="82">
        <f t="shared" si="27"/>
        <v>0</v>
      </c>
    </row>
    <row r="688" spans="1:5" ht="31.25" x14ac:dyDescent="0.3">
      <c r="A688" s="339" t="s">
        <v>145</v>
      </c>
      <c r="B688" s="339" t="s">
        <v>65</v>
      </c>
      <c r="C688" s="374">
        <v>0</v>
      </c>
      <c r="D688" s="82">
        <f t="shared" si="27"/>
        <v>0</v>
      </c>
      <c r="E688" s="82">
        <f t="shared" si="27"/>
        <v>0</v>
      </c>
    </row>
    <row r="689" spans="1:5" ht="15.65" x14ac:dyDescent="0.3">
      <c r="A689" s="339" t="s">
        <v>286</v>
      </c>
      <c r="B689" s="339" t="s">
        <v>69</v>
      </c>
      <c r="C689" s="374">
        <v>0</v>
      </c>
      <c r="D689" s="82">
        <f t="shared" si="27"/>
        <v>0</v>
      </c>
      <c r="E689" s="82">
        <f t="shared" si="27"/>
        <v>0</v>
      </c>
    </row>
    <row r="690" spans="1:5" ht="15.65" x14ac:dyDescent="0.3">
      <c r="A690" s="339">
        <v>2410104</v>
      </c>
      <c r="B690" s="391" t="s">
        <v>268</v>
      </c>
      <c r="C690" s="374">
        <v>0</v>
      </c>
      <c r="D690" s="82">
        <f t="shared" si="27"/>
        <v>0</v>
      </c>
      <c r="E690" s="82">
        <f t="shared" si="27"/>
        <v>0</v>
      </c>
    </row>
    <row r="691" spans="1:5" ht="31.25" x14ac:dyDescent="0.3">
      <c r="A691" s="335" t="s">
        <v>237</v>
      </c>
      <c r="B691" s="335" t="s">
        <v>71</v>
      </c>
      <c r="C691" s="337">
        <f>C692</f>
        <v>1200000</v>
      </c>
      <c r="D691" s="82">
        <f t="shared" si="27"/>
        <v>1260000</v>
      </c>
      <c r="E691" s="82">
        <f t="shared" si="27"/>
        <v>1323000</v>
      </c>
    </row>
    <row r="692" spans="1:5" ht="15.65" x14ac:dyDescent="0.3">
      <c r="A692" s="339" t="s">
        <v>148</v>
      </c>
      <c r="B692" s="339" t="s">
        <v>72</v>
      </c>
      <c r="C692" s="374">
        <v>1200000</v>
      </c>
      <c r="D692" s="82">
        <f t="shared" si="27"/>
        <v>1260000</v>
      </c>
      <c r="E692" s="82">
        <f t="shared" si="27"/>
        <v>1323000</v>
      </c>
    </row>
    <row r="693" spans="1:5" ht="15.65" x14ac:dyDescent="0.3">
      <c r="A693" s="335" t="s">
        <v>238</v>
      </c>
      <c r="B693" s="335" t="s">
        <v>73</v>
      </c>
      <c r="C693" s="337">
        <f>C695+C697+C698</f>
        <v>1473611</v>
      </c>
      <c r="D693" s="86">
        <f t="shared" si="27"/>
        <v>1547291.55</v>
      </c>
      <c r="E693" s="86">
        <f t="shared" si="27"/>
        <v>1624656.1275000002</v>
      </c>
    </row>
    <row r="694" spans="1:5" ht="31.25" x14ac:dyDescent="0.3">
      <c r="A694" s="339" t="s">
        <v>269</v>
      </c>
      <c r="B694" s="339" t="s">
        <v>74</v>
      </c>
      <c r="C694" s="374">
        <v>0</v>
      </c>
      <c r="D694" s="82">
        <f t="shared" si="27"/>
        <v>0</v>
      </c>
      <c r="E694" s="82">
        <f t="shared" si="27"/>
        <v>0</v>
      </c>
    </row>
    <row r="695" spans="1:5" ht="15.65" x14ac:dyDescent="0.3">
      <c r="A695" s="339" t="s">
        <v>270</v>
      </c>
      <c r="B695" s="339" t="s">
        <v>75</v>
      </c>
      <c r="C695" s="374">
        <v>50000</v>
      </c>
      <c r="D695" s="82">
        <f t="shared" si="27"/>
        <v>52500</v>
      </c>
      <c r="E695" s="82">
        <f t="shared" si="27"/>
        <v>55125</v>
      </c>
    </row>
    <row r="696" spans="1:5" ht="15.65" x14ac:dyDescent="0.3">
      <c r="A696" s="339" t="s">
        <v>239</v>
      </c>
      <c r="B696" s="339" t="s">
        <v>240</v>
      </c>
      <c r="C696" s="374">
        <v>0</v>
      </c>
      <c r="D696" s="82">
        <f t="shared" si="27"/>
        <v>0</v>
      </c>
      <c r="E696" s="82">
        <f t="shared" si="27"/>
        <v>0</v>
      </c>
    </row>
    <row r="697" spans="1:5" ht="15.65" x14ac:dyDescent="0.3">
      <c r="A697" s="339" t="s">
        <v>241</v>
      </c>
      <c r="B697" s="339" t="s">
        <v>76</v>
      </c>
      <c r="C697" s="374">
        <v>1380000</v>
      </c>
      <c r="D697" s="82">
        <f t="shared" si="27"/>
        <v>1449000</v>
      </c>
      <c r="E697" s="82">
        <f t="shared" si="27"/>
        <v>1521450</v>
      </c>
    </row>
    <row r="698" spans="1:5" ht="15.65" x14ac:dyDescent="0.3">
      <c r="A698" s="339" t="s">
        <v>242</v>
      </c>
      <c r="B698" s="339" t="s">
        <v>77</v>
      </c>
      <c r="C698" s="374">
        <v>43611</v>
      </c>
      <c r="D698" s="82">
        <f t="shared" si="27"/>
        <v>45791.55</v>
      </c>
      <c r="E698" s="82">
        <f t="shared" si="27"/>
        <v>48081.127500000002</v>
      </c>
    </row>
    <row r="699" spans="1:5" ht="15.65" x14ac:dyDescent="0.3">
      <c r="A699" s="335">
        <v>3110900</v>
      </c>
      <c r="B699" s="335" t="s">
        <v>271</v>
      </c>
      <c r="C699" s="337">
        <f>C700</f>
        <v>0</v>
      </c>
      <c r="D699" s="82">
        <f t="shared" si="27"/>
        <v>0</v>
      </c>
      <c r="E699" s="82">
        <f t="shared" si="27"/>
        <v>0</v>
      </c>
    </row>
    <row r="700" spans="1:5" ht="15.65" x14ac:dyDescent="0.3">
      <c r="A700" s="339" t="s">
        <v>272</v>
      </c>
      <c r="B700" s="339" t="s">
        <v>273</v>
      </c>
      <c r="C700" s="374">
        <v>0</v>
      </c>
      <c r="D700" s="82">
        <f t="shared" si="27"/>
        <v>0</v>
      </c>
      <c r="E700" s="82">
        <f t="shared" si="27"/>
        <v>0</v>
      </c>
    </row>
    <row r="701" spans="1:5" ht="15.65" x14ac:dyDescent="0.3">
      <c r="A701" s="335" t="s">
        <v>274</v>
      </c>
      <c r="B701" s="335" t="s">
        <v>82</v>
      </c>
      <c r="C701" s="337">
        <f>SUM(C702:C704)</f>
        <v>448563.05500426854</v>
      </c>
      <c r="D701" s="337">
        <f>SUM(D702:D704)</f>
        <v>470991.20775448193</v>
      </c>
      <c r="E701" s="337">
        <f>SUM(E702:E704)</f>
        <v>494540.76814220607</v>
      </c>
    </row>
    <row r="702" spans="1:5" ht="15.65" x14ac:dyDescent="0.3">
      <c r="A702" s="339" t="s">
        <v>153</v>
      </c>
      <c r="B702" s="339" t="s">
        <v>83</v>
      </c>
      <c r="C702" s="374">
        <v>87222.110244828364</v>
      </c>
      <c r="D702" s="82">
        <f t="shared" si="27"/>
        <v>91583.215757069789</v>
      </c>
      <c r="E702" s="82">
        <f t="shared" si="27"/>
        <v>96162.376544923289</v>
      </c>
    </row>
    <row r="703" spans="1:5" ht="15.65" x14ac:dyDescent="0.3">
      <c r="A703" s="339" t="s">
        <v>275</v>
      </c>
      <c r="B703" s="339" t="s">
        <v>84</v>
      </c>
      <c r="C703" s="374">
        <v>316452.10066150886</v>
      </c>
      <c r="D703" s="82">
        <f t="shared" si="27"/>
        <v>332274.70569458429</v>
      </c>
      <c r="E703" s="82">
        <f t="shared" si="27"/>
        <v>348888.44097931351</v>
      </c>
    </row>
    <row r="704" spans="1:5" ht="15.65" x14ac:dyDescent="0.3">
      <c r="A704" s="339" t="s">
        <v>276</v>
      </c>
      <c r="B704" s="339" t="s">
        <v>277</v>
      </c>
      <c r="C704" s="374">
        <v>44888.844097931302</v>
      </c>
      <c r="D704" s="82">
        <f t="shared" si="27"/>
        <v>47133.286302827866</v>
      </c>
      <c r="E704" s="82">
        <f t="shared" si="27"/>
        <v>49489.950617969262</v>
      </c>
    </row>
    <row r="705" spans="1:5" ht="15.65" x14ac:dyDescent="0.3">
      <c r="A705" s="335" t="s">
        <v>278</v>
      </c>
      <c r="B705" s="335" t="s">
        <v>279</v>
      </c>
      <c r="C705" s="342">
        <f>SUM(C706:C708)</f>
        <v>0</v>
      </c>
      <c r="D705" s="82">
        <f t="shared" si="27"/>
        <v>0</v>
      </c>
      <c r="E705" s="82">
        <f t="shared" si="27"/>
        <v>0</v>
      </c>
    </row>
    <row r="706" spans="1:5" ht="15.65" x14ac:dyDescent="0.3">
      <c r="A706" s="339" t="s">
        <v>280</v>
      </c>
      <c r="B706" s="339" t="s">
        <v>281</v>
      </c>
      <c r="C706" s="374">
        <v>0</v>
      </c>
      <c r="D706" s="82">
        <f t="shared" si="27"/>
        <v>0</v>
      </c>
      <c r="E706" s="82">
        <f t="shared" si="27"/>
        <v>0</v>
      </c>
    </row>
    <row r="707" spans="1:5" ht="31.25" x14ac:dyDescent="0.3">
      <c r="A707" s="339" t="s">
        <v>282</v>
      </c>
      <c r="B707" s="339" t="s">
        <v>283</v>
      </c>
      <c r="C707" s="374">
        <v>0</v>
      </c>
      <c r="D707" s="82">
        <f t="shared" si="27"/>
        <v>0</v>
      </c>
      <c r="E707" s="82">
        <f t="shared" si="27"/>
        <v>0</v>
      </c>
    </row>
    <row r="708" spans="1:5" ht="15.65" x14ac:dyDescent="0.3">
      <c r="A708" s="339">
        <v>3111403</v>
      </c>
      <c r="B708" s="339" t="s">
        <v>284</v>
      </c>
      <c r="C708" s="374">
        <v>0</v>
      </c>
      <c r="D708" s="82">
        <f t="shared" si="27"/>
        <v>0</v>
      </c>
      <c r="E708" s="82">
        <f t="shared" si="27"/>
        <v>0</v>
      </c>
    </row>
    <row r="709" spans="1:5" ht="15.65" x14ac:dyDescent="0.3">
      <c r="A709" s="335"/>
      <c r="B709" s="335" t="s">
        <v>297</v>
      </c>
      <c r="C709" s="337">
        <f>C637+C640+C644+C662+C667+C677+C681+C684+C691+C693+C701+C652+C693</f>
        <v>21225957.892583195</v>
      </c>
      <c r="D709" s="86">
        <f t="shared" si="27"/>
        <v>22287255.787212357</v>
      </c>
      <c r="E709" s="86">
        <f t="shared" si="27"/>
        <v>23401618.576572977</v>
      </c>
    </row>
    <row r="710" spans="1:5" ht="15.65" x14ac:dyDescent="0.3">
      <c r="A710" s="148"/>
      <c r="B710" s="12"/>
      <c r="C710" s="361"/>
      <c r="D710" s="82"/>
      <c r="E710" s="82"/>
    </row>
    <row r="711" spans="1:5" ht="15.65" x14ac:dyDescent="0.3">
      <c r="A711" s="148"/>
      <c r="B711" s="399"/>
      <c r="C711" s="361"/>
      <c r="D711" s="82"/>
      <c r="E711" s="82"/>
    </row>
    <row r="712" spans="1:5" ht="15.65" x14ac:dyDescent="0.3">
      <c r="A712" s="148"/>
      <c r="B712" s="380" t="s">
        <v>385</v>
      </c>
      <c r="C712" s="361"/>
      <c r="D712" s="82"/>
      <c r="E712" s="82"/>
    </row>
    <row r="713" spans="1:5" ht="15.65" x14ac:dyDescent="0.3">
      <c r="A713" s="339">
        <v>3110599</v>
      </c>
      <c r="B713" s="393" t="s">
        <v>699</v>
      </c>
      <c r="C713" s="361">
        <v>0</v>
      </c>
      <c r="D713" s="361">
        <v>0</v>
      </c>
      <c r="E713" s="361">
        <v>0</v>
      </c>
    </row>
    <row r="714" spans="1:5" ht="15.65" x14ac:dyDescent="0.3">
      <c r="A714" s="76">
        <v>3110504</v>
      </c>
      <c r="B714" s="147" t="s">
        <v>583</v>
      </c>
      <c r="C714" s="361">
        <v>0</v>
      </c>
      <c r="D714" s="361">
        <v>0</v>
      </c>
      <c r="E714" s="361">
        <v>0</v>
      </c>
    </row>
    <row r="715" spans="1:5" ht="15.65" x14ac:dyDescent="0.3">
      <c r="A715" s="347" t="s">
        <v>272</v>
      </c>
      <c r="B715" s="357" t="s">
        <v>273</v>
      </c>
      <c r="C715" s="361">
        <v>0</v>
      </c>
      <c r="D715" s="361">
        <v>0</v>
      </c>
      <c r="E715" s="361">
        <v>0</v>
      </c>
    </row>
    <row r="716" spans="1:5" ht="15.65" x14ac:dyDescent="0.3">
      <c r="A716" s="76">
        <v>2410104</v>
      </c>
      <c r="B716" s="147" t="s">
        <v>751</v>
      </c>
      <c r="C716" s="361">
        <v>0</v>
      </c>
      <c r="D716" s="361">
        <v>0</v>
      </c>
      <c r="E716" s="361">
        <v>0</v>
      </c>
    </row>
    <row r="717" spans="1:5" ht="15.65" x14ac:dyDescent="0.3">
      <c r="A717" s="339">
        <v>2410104</v>
      </c>
      <c r="B717" s="339" t="s">
        <v>245</v>
      </c>
      <c r="C717" s="361">
        <v>0</v>
      </c>
      <c r="D717" s="361">
        <v>0</v>
      </c>
      <c r="E717" s="361">
        <v>0</v>
      </c>
    </row>
    <row r="718" spans="1:5" ht="15.65" x14ac:dyDescent="0.3">
      <c r="A718" s="148"/>
      <c r="B718" s="380" t="s">
        <v>752</v>
      </c>
      <c r="C718" s="361">
        <v>0</v>
      </c>
      <c r="D718" s="361">
        <v>0</v>
      </c>
      <c r="E718" s="361">
        <v>0</v>
      </c>
    </row>
    <row r="719" spans="1:5" ht="15.65" x14ac:dyDescent="0.3">
      <c r="A719" s="148"/>
      <c r="B719" s="380" t="s">
        <v>753</v>
      </c>
      <c r="C719" s="374">
        <f>C709+C718</f>
        <v>21225957.892583195</v>
      </c>
      <c r="D719" s="82">
        <f t="shared" ref="D719:E719" si="28">C719*1.05</f>
        <v>22287255.787212357</v>
      </c>
      <c r="E719" s="82">
        <f t="shared" si="28"/>
        <v>23401618.576572977</v>
      </c>
    </row>
    <row r="720" spans="1:5" ht="15.65" x14ac:dyDescent="0.3">
      <c r="A720" s="148"/>
      <c r="B720" s="399"/>
      <c r="C720" s="361"/>
      <c r="D720" s="82"/>
      <c r="E720" s="82"/>
    </row>
    <row r="721" spans="1:5" ht="31.25" x14ac:dyDescent="0.3">
      <c r="A721" s="78"/>
      <c r="B721" s="78" t="s">
        <v>298</v>
      </c>
      <c r="C721" s="79" t="s">
        <v>184</v>
      </c>
      <c r="D721" s="79" t="s">
        <v>746</v>
      </c>
      <c r="E721" s="79" t="s">
        <v>791</v>
      </c>
    </row>
    <row r="722" spans="1:5" ht="15.65" x14ac:dyDescent="0.3">
      <c r="A722" s="78"/>
      <c r="B722" s="78" t="s">
        <v>902</v>
      </c>
      <c r="C722" s="79"/>
      <c r="D722" s="79"/>
      <c r="E722" s="79"/>
    </row>
    <row r="723" spans="1:5" ht="15.65" x14ac:dyDescent="0.3">
      <c r="A723" s="80" t="s">
        <v>185</v>
      </c>
      <c r="B723" s="80" t="s">
        <v>186</v>
      </c>
      <c r="C723" s="81">
        <f>C724</f>
        <v>0</v>
      </c>
      <c r="D723" s="82"/>
      <c r="E723" s="82"/>
    </row>
    <row r="724" spans="1:5" ht="15.65" x14ac:dyDescent="0.3">
      <c r="A724" s="83" t="s">
        <v>98</v>
      </c>
      <c r="B724" s="83" t="s">
        <v>99</v>
      </c>
      <c r="C724" s="81">
        <v>0</v>
      </c>
      <c r="D724" s="82"/>
      <c r="E724" s="82"/>
    </row>
    <row r="725" spans="1:5" ht="15.65" x14ac:dyDescent="0.3">
      <c r="A725" s="80" t="s">
        <v>3</v>
      </c>
      <c r="B725" s="80" t="s">
        <v>4</v>
      </c>
      <c r="C725" s="78">
        <f>C726</f>
        <v>0</v>
      </c>
      <c r="D725" s="82"/>
      <c r="E725" s="82"/>
    </row>
    <row r="726" spans="1:5" ht="15.65" x14ac:dyDescent="0.3">
      <c r="A726" s="83" t="s">
        <v>5</v>
      </c>
      <c r="B726" s="83" t="s">
        <v>6</v>
      </c>
      <c r="C726" s="81">
        <v>0</v>
      </c>
      <c r="D726" s="82"/>
      <c r="E726" s="82"/>
    </row>
    <row r="727" spans="1:5" ht="15.65" x14ac:dyDescent="0.3">
      <c r="A727" s="80" t="s">
        <v>289</v>
      </c>
      <c r="B727" s="80" t="s">
        <v>290</v>
      </c>
      <c r="C727" s="81">
        <f>C728+C729</f>
        <v>0</v>
      </c>
      <c r="D727" s="82"/>
      <c r="E727" s="82"/>
    </row>
    <row r="728" spans="1:5" ht="15.65" x14ac:dyDescent="0.3">
      <c r="A728" s="83" t="s">
        <v>291</v>
      </c>
      <c r="B728" s="83" t="s">
        <v>10</v>
      </c>
      <c r="C728" s="81">
        <v>0</v>
      </c>
      <c r="D728" s="82"/>
      <c r="E728" s="82"/>
    </row>
    <row r="729" spans="1:5" ht="15.65" x14ac:dyDescent="0.3">
      <c r="A729" s="83" t="s">
        <v>292</v>
      </c>
      <c r="B729" s="83" t="s">
        <v>293</v>
      </c>
      <c r="C729" s="81">
        <v>0</v>
      </c>
      <c r="D729" s="82"/>
      <c r="E729" s="82"/>
    </row>
    <row r="730" spans="1:5" ht="15.65" x14ac:dyDescent="0.3">
      <c r="A730" s="80" t="s">
        <v>294</v>
      </c>
      <c r="B730" s="80" t="s">
        <v>295</v>
      </c>
      <c r="C730" s="81">
        <v>0</v>
      </c>
      <c r="D730" s="82"/>
      <c r="E730" s="82"/>
    </row>
    <row r="731" spans="1:5" ht="15.65" x14ac:dyDescent="0.3">
      <c r="A731" s="80">
        <v>2410104</v>
      </c>
      <c r="B731" s="84" t="s">
        <v>268</v>
      </c>
      <c r="C731" s="78">
        <v>0</v>
      </c>
      <c r="D731" s="82"/>
      <c r="E731" s="82"/>
    </row>
    <row r="732" spans="1:5" ht="15.65" x14ac:dyDescent="0.3">
      <c r="A732" s="80" t="s">
        <v>192</v>
      </c>
      <c r="B732" s="80" t="s">
        <v>23</v>
      </c>
      <c r="C732" s="85">
        <f>C733+C734</f>
        <v>1110000</v>
      </c>
      <c r="D732" s="86">
        <f t="shared" ref="D732:E797" si="29">C732*1.05</f>
        <v>1165500</v>
      </c>
      <c r="E732" s="86">
        <f t="shared" si="29"/>
        <v>1223775</v>
      </c>
    </row>
    <row r="733" spans="1:5" ht="15.65" x14ac:dyDescent="0.3">
      <c r="A733" s="83" t="s">
        <v>101</v>
      </c>
      <c r="B733" s="83" t="s">
        <v>102</v>
      </c>
      <c r="C733" s="400">
        <v>960000</v>
      </c>
      <c r="D733" s="82">
        <f t="shared" si="29"/>
        <v>1008000</v>
      </c>
      <c r="E733" s="82">
        <f t="shared" si="29"/>
        <v>1058400</v>
      </c>
    </row>
    <row r="734" spans="1:5" ht="15.65" x14ac:dyDescent="0.3">
      <c r="A734" s="83" t="s">
        <v>103</v>
      </c>
      <c r="B734" s="83" t="s">
        <v>104</v>
      </c>
      <c r="C734" s="400">
        <v>150000</v>
      </c>
      <c r="D734" s="82">
        <f t="shared" si="29"/>
        <v>157500</v>
      </c>
      <c r="E734" s="82">
        <f t="shared" si="29"/>
        <v>165375</v>
      </c>
    </row>
    <row r="735" spans="1:5" ht="15.65" x14ac:dyDescent="0.3">
      <c r="A735" s="80" t="s">
        <v>193</v>
      </c>
      <c r="B735" s="80" t="s">
        <v>194</v>
      </c>
      <c r="C735" s="85">
        <f>C736+C737+C738</f>
        <v>305473</v>
      </c>
      <c r="D735" s="86">
        <f t="shared" si="29"/>
        <v>320746.65000000002</v>
      </c>
      <c r="E735" s="86">
        <f t="shared" si="29"/>
        <v>336783.98250000004</v>
      </c>
    </row>
    <row r="736" spans="1:5" ht="15.65" x14ac:dyDescent="0.3">
      <c r="A736" s="83">
        <v>2210201</v>
      </c>
      <c r="B736" s="83" t="s">
        <v>106</v>
      </c>
      <c r="C736" s="400">
        <v>150000</v>
      </c>
      <c r="D736" s="82">
        <f t="shared" si="29"/>
        <v>157500</v>
      </c>
      <c r="E736" s="82">
        <f t="shared" si="29"/>
        <v>165375</v>
      </c>
    </row>
    <row r="737" spans="1:5" ht="15.65" x14ac:dyDescent="0.3">
      <c r="A737" s="83" t="s">
        <v>107</v>
      </c>
      <c r="B737" s="83" t="s">
        <v>108</v>
      </c>
      <c r="C737" s="400">
        <v>73188</v>
      </c>
      <c r="D737" s="82">
        <f t="shared" si="29"/>
        <v>76847.400000000009</v>
      </c>
      <c r="E737" s="82">
        <f t="shared" si="29"/>
        <v>80689.770000000019</v>
      </c>
    </row>
    <row r="738" spans="1:5" ht="15.65" x14ac:dyDescent="0.3">
      <c r="A738" s="83" t="s">
        <v>109</v>
      </c>
      <c r="B738" s="83" t="s">
        <v>29</v>
      </c>
      <c r="C738" s="401">
        <v>82285</v>
      </c>
      <c r="D738" s="82">
        <f t="shared" si="29"/>
        <v>86399.25</v>
      </c>
      <c r="E738" s="82">
        <f t="shared" si="29"/>
        <v>90719.212500000009</v>
      </c>
    </row>
    <row r="739" spans="1:5" ht="31.25" x14ac:dyDescent="0.3">
      <c r="A739" s="80" t="s">
        <v>195</v>
      </c>
      <c r="B739" s="80" t="s">
        <v>30</v>
      </c>
      <c r="C739" s="92">
        <f>C740+C741+C742</f>
        <v>1230000</v>
      </c>
      <c r="D739" s="366">
        <f t="shared" si="29"/>
        <v>1291500</v>
      </c>
      <c r="E739" s="366">
        <f t="shared" si="29"/>
        <v>1356075</v>
      </c>
    </row>
    <row r="740" spans="1:5" ht="31.25" x14ac:dyDescent="0.3">
      <c r="A740" s="83" t="s">
        <v>110</v>
      </c>
      <c r="B740" s="83" t="s">
        <v>111</v>
      </c>
      <c r="C740" s="401">
        <v>100000</v>
      </c>
      <c r="D740" s="82">
        <f t="shared" si="29"/>
        <v>105000</v>
      </c>
      <c r="E740" s="82">
        <f t="shared" si="29"/>
        <v>110250</v>
      </c>
    </row>
    <row r="741" spans="1:5" ht="15.65" x14ac:dyDescent="0.3">
      <c r="A741" s="83" t="s">
        <v>112</v>
      </c>
      <c r="B741" s="83" t="s">
        <v>113</v>
      </c>
      <c r="C741" s="401">
        <v>380000</v>
      </c>
      <c r="D741" s="82">
        <f t="shared" si="29"/>
        <v>399000</v>
      </c>
      <c r="E741" s="82">
        <f t="shared" si="29"/>
        <v>418950</v>
      </c>
    </row>
    <row r="742" spans="1:5" ht="15.65" x14ac:dyDescent="0.3">
      <c r="A742" s="83" t="s">
        <v>114</v>
      </c>
      <c r="B742" s="83" t="s">
        <v>115</v>
      </c>
      <c r="C742" s="401">
        <v>750000</v>
      </c>
      <c r="D742" s="82">
        <f t="shared" si="29"/>
        <v>787500</v>
      </c>
      <c r="E742" s="82">
        <f t="shared" si="29"/>
        <v>826875</v>
      </c>
    </row>
    <row r="743" spans="1:5" ht="31.25" x14ac:dyDescent="0.3">
      <c r="A743" s="80" t="s">
        <v>117</v>
      </c>
      <c r="B743" s="80" t="s">
        <v>118</v>
      </c>
      <c r="C743" s="85">
        <v>0</v>
      </c>
      <c r="D743" s="82">
        <f t="shared" si="29"/>
        <v>0</v>
      </c>
      <c r="E743" s="82">
        <f t="shared" si="29"/>
        <v>0</v>
      </c>
    </row>
    <row r="744" spans="1:5" ht="15.65" x14ac:dyDescent="0.3">
      <c r="A744" s="83" t="s">
        <v>119</v>
      </c>
      <c r="B744" s="83" t="s">
        <v>120</v>
      </c>
      <c r="C744" s="88">
        <v>0</v>
      </c>
      <c r="D744" s="82">
        <f t="shared" si="29"/>
        <v>0</v>
      </c>
      <c r="E744" s="82">
        <f t="shared" si="29"/>
        <v>0</v>
      </c>
    </row>
    <row r="745" spans="1:5" ht="15.65" x14ac:dyDescent="0.3">
      <c r="A745" s="83" t="s">
        <v>197</v>
      </c>
      <c r="B745" s="83" t="s">
        <v>198</v>
      </c>
      <c r="C745" s="88">
        <v>0</v>
      </c>
      <c r="D745" s="82">
        <f t="shared" si="29"/>
        <v>0</v>
      </c>
      <c r="E745" s="82">
        <f t="shared" si="29"/>
        <v>0</v>
      </c>
    </row>
    <row r="746" spans="1:5" ht="15.65" x14ac:dyDescent="0.3">
      <c r="A746" s="83" t="s">
        <v>121</v>
      </c>
      <c r="B746" s="83" t="s">
        <v>115</v>
      </c>
      <c r="C746" s="88">
        <v>0</v>
      </c>
      <c r="D746" s="82">
        <f t="shared" si="29"/>
        <v>0</v>
      </c>
      <c r="E746" s="82">
        <f t="shared" si="29"/>
        <v>0</v>
      </c>
    </row>
    <row r="747" spans="1:5" ht="31.25" x14ac:dyDescent="0.3">
      <c r="A747" s="80" t="s">
        <v>199</v>
      </c>
      <c r="B747" s="80" t="s">
        <v>38</v>
      </c>
      <c r="C747" s="85">
        <v>0</v>
      </c>
      <c r="D747" s="82">
        <f t="shared" si="29"/>
        <v>0</v>
      </c>
      <c r="E747" s="82">
        <f t="shared" si="29"/>
        <v>0</v>
      </c>
    </row>
    <row r="748" spans="1:5" ht="15.65" x14ac:dyDescent="0.3">
      <c r="A748" s="83" t="s">
        <v>200</v>
      </c>
      <c r="B748" s="83" t="s">
        <v>201</v>
      </c>
      <c r="C748" s="88">
        <v>0</v>
      </c>
      <c r="D748" s="82">
        <f t="shared" si="29"/>
        <v>0</v>
      </c>
      <c r="E748" s="82">
        <f t="shared" si="29"/>
        <v>0</v>
      </c>
    </row>
    <row r="749" spans="1:5" ht="15.65" x14ac:dyDescent="0.3">
      <c r="A749" s="83" t="s">
        <v>122</v>
      </c>
      <c r="B749" s="83" t="s">
        <v>123</v>
      </c>
      <c r="C749" s="88">
        <v>0</v>
      </c>
      <c r="D749" s="82">
        <f t="shared" si="29"/>
        <v>0</v>
      </c>
      <c r="E749" s="82">
        <f t="shared" si="29"/>
        <v>0</v>
      </c>
    </row>
    <row r="750" spans="1:5" ht="15.65" x14ac:dyDescent="0.3">
      <c r="A750" s="83" t="s">
        <v>124</v>
      </c>
      <c r="B750" s="83" t="s">
        <v>125</v>
      </c>
      <c r="C750" s="88">
        <v>0</v>
      </c>
      <c r="D750" s="82">
        <f t="shared" si="29"/>
        <v>0</v>
      </c>
      <c r="E750" s="82">
        <f t="shared" si="29"/>
        <v>0</v>
      </c>
    </row>
    <row r="751" spans="1:5" ht="15.65" x14ac:dyDescent="0.3">
      <c r="A751" s="83" t="s">
        <v>202</v>
      </c>
      <c r="B751" s="83" t="s">
        <v>41</v>
      </c>
      <c r="C751" s="82"/>
      <c r="D751" s="82">
        <f t="shared" si="29"/>
        <v>0</v>
      </c>
      <c r="E751" s="82">
        <f t="shared" si="29"/>
        <v>0</v>
      </c>
    </row>
    <row r="752" spans="1:5" ht="15.65" x14ac:dyDescent="0.3">
      <c r="A752" s="80" t="s">
        <v>259</v>
      </c>
      <c r="B752" s="80" t="s">
        <v>42</v>
      </c>
      <c r="C752" s="85">
        <v>0</v>
      </c>
      <c r="D752" s="82">
        <f t="shared" si="29"/>
        <v>0</v>
      </c>
      <c r="E752" s="82">
        <f t="shared" si="29"/>
        <v>0</v>
      </c>
    </row>
    <row r="753" spans="1:5" ht="15.65" x14ac:dyDescent="0.3">
      <c r="A753" s="83" t="s">
        <v>260</v>
      </c>
      <c r="B753" s="83" t="s">
        <v>43</v>
      </c>
      <c r="C753" s="88">
        <v>0</v>
      </c>
      <c r="D753" s="82">
        <f t="shared" si="29"/>
        <v>0</v>
      </c>
      <c r="E753" s="82">
        <f t="shared" si="29"/>
        <v>0</v>
      </c>
    </row>
    <row r="754" spans="1:5" ht="15.65" x14ac:dyDescent="0.3">
      <c r="A754" s="80" t="s">
        <v>203</v>
      </c>
      <c r="B754" s="80" t="s">
        <v>45</v>
      </c>
      <c r="C754" s="88">
        <v>0</v>
      </c>
      <c r="D754" s="82">
        <f t="shared" si="29"/>
        <v>0</v>
      </c>
      <c r="E754" s="82">
        <f t="shared" si="29"/>
        <v>0</v>
      </c>
    </row>
    <row r="755" spans="1:5" ht="15.65" x14ac:dyDescent="0.3">
      <c r="A755" s="83" t="s">
        <v>127</v>
      </c>
      <c r="B755" s="83" t="s">
        <v>128</v>
      </c>
      <c r="C755" s="88">
        <v>0</v>
      </c>
      <c r="D755" s="82">
        <f t="shared" si="29"/>
        <v>0</v>
      </c>
      <c r="E755" s="82">
        <f t="shared" si="29"/>
        <v>0</v>
      </c>
    </row>
    <row r="756" spans="1:5" ht="15.65" x14ac:dyDescent="0.3">
      <c r="A756" s="83" t="s">
        <v>129</v>
      </c>
      <c r="B756" s="83" t="s">
        <v>130</v>
      </c>
      <c r="C756" s="88">
        <v>0</v>
      </c>
      <c r="D756" s="82">
        <f t="shared" si="29"/>
        <v>0</v>
      </c>
      <c r="E756" s="82">
        <f t="shared" si="29"/>
        <v>0</v>
      </c>
    </row>
    <row r="757" spans="1:5" ht="15.65" x14ac:dyDescent="0.3">
      <c r="A757" s="80" t="s">
        <v>205</v>
      </c>
      <c r="B757" s="80" t="s">
        <v>48</v>
      </c>
      <c r="C757" s="85">
        <f>C758+C759</f>
        <v>1516000</v>
      </c>
      <c r="D757" s="86">
        <f t="shared" si="29"/>
        <v>1591800</v>
      </c>
      <c r="E757" s="86">
        <f t="shared" si="29"/>
        <v>1671390</v>
      </c>
    </row>
    <row r="758" spans="1:5" ht="31.25" x14ac:dyDescent="0.3">
      <c r="A758" s="83" t="s">
        <v>131</v>
      </c>
      <c r="B758" s="83" t="s">
        <v>206</v>
      </c>
      <c r="C758" s="400">
        <v>500000</v>
      </c>
      <c r="D758" s="82">
        <f t="shared" si="29"/>
        <v>525000</v>
      </c>
      <c r="E758" s="82">
        <f t="shared" si="29"/>
        <v>551250</v>
      </c>
    </row>
    <row r="759" spans="1:5" ht="15.65" x14ac:dyDescent="0.3">
      <c r="A759" s="83" t="s">
        <v>133</v>
      </c>
      <c r="B759" s="83" t="s">
        <v>207</v>
      </c>
      <c r="C759" s="400">
        <v>1016000</v>
      </c>
      <c r="D759" s="82">
        <f t="shared" si="29"/>
        <v>1066800</v>
      </c>
      <c r="E759" s="82">
        <f t="shared" si="29"/>
        <v>1120140</v>
      </c>
    </row>
    <row r="760" spans="1:5" ht="15.65" x14ac:dyDescent="0.3">
      <c r="A760" s="80" t="s">
        <v>208</v>
      </c>
      <c r="B760" s="80" t="s">
        <v>209</v>
      </c>
      <c r="C760" s="82"/>
      <c r="D760" s="82">
        <f t="shared" si="29"/>
        <v>0</v>
      </c>
      <c r="E760" s="82">
        <f t="shared" si="29"/>
        <v>0</v>
      </c>
    </row>
    <row r="761" spans="1:5" ht="15.65" x14ac:dyDescent="0.3">
      <c r="A761" s="83" t="s">
        <v>210</v>
      </c>
      <c r="B761" s="83" t="s">
        <v>66</v>
      </c>
      <c r="C761" s="82"/>
      <c r="D761" s="82">
        <f t="shared" si="29"/>
        <v>0</v>
      </c>
      <c r="E761" s="82">
        <f t="shared" si="29"/>
        <v>0</v>
      </c>
    </row>
    <row r="762" spans="1:5" ht="15.65" x14ac:dyDescent="0.3">
      <c r="A762" s="80" t="s">
        <v>211</v>
      </c>
      <c r="B762" s="80" t="s">
        <v>51</v>
      </c>
      <c r="C762" s="85">
        <f>C763+C764+C765+C766+C767+C768+C769+C771+C772</f>
        <v>14225000</v>
      </c>
      <c r="D762" s="86">
        <f t="shared" si="29"/>
        <v>14936250</v>
      </c>
      <c r="E762" s="86">
        <f t="shared" si="29"/>
        <v>15683062.5</v>
      </c>
    </row>
    <row r="763" spans="1:5" ht="15.65" x14ac:dyDescent="0.3">
      <c r="A763" s="83" t="s">
        <v>212</v>
      </c>
      <c r="B763" s="83" t="s">
        <v>213</v>
      </c>
      <c r="C763" s="402">
        <v>3900000</v>
      </c>
      <c r="D763" s="82">
        <f t="shared" si="29"/>
        <v>4095000</v>
      </c>
      <c r="E763" s="82">
        <f t="shared" si="29"/>
        <v>4299750</v>
      </c>
    </row>
    <row r="764" spans="1:5" ht="15.65" x14ac:dyDescent="0.3">
      <c r="A764" s="83" t="s">
        <v>214</v>
      </c>
      <c r="B764" s="83" t="s">
        <v>215</v>
      </c>
      <c r="C764" s="402">
        <v>3900000</v>
      </c>
      <c r="D764" s="82">
        <f t="shared" si="29"/>
        <v>4095000</v>
      </c>
      <c r="E764" s="82">
        <f t="shared" si="29"/>
        <v>4299750</v>
      </c>
    </row>
    <row r="765" spans="1:5" ht="15.65" x14ac:dyDescent="0.3">
      <c r="A765" s="83" t="s">
        <v>216</v>
      </c>
      <c r="B765" s="83" t="s">
        <v>217</v>
      </c>
      <c r="C765" s="400">
        <v>100000</v>
      </c>
      <c r="D765" s="82">
        <f t="shared" si="29"/>
        <v>105000</v>
      </c>
      <c r="E765" s="82">
        <f t="shared" si="29"/>
        <v>110250</v>
      </c>
    </row>
    <row r="766" spans="1:5" ht="15.65" x14ac:dyDescent="0.3">
      <c r="A766" s="83" t="s">
        <v>261</v>
      </c>
      <c r="B766" s="83" t="s">
        <v>218</v>
      </c>
      <c r="C766" s="400">
        <v>120000</v>
      </c>
      <c r="D766" s="82">
        <f t="shared" si="29"/>
        <v>126000</v>
      </c>
      <c r="E766" s="82">
        <f t="shared" si="29"/>
        <v>132300</v>
      </c>
    </row>
    <row r="767" spans="1:5" ht="15.65" x14ac:dyDescent="0.3">
      <c r="A767" s="83" t="s">
        <v>219</v>
      </c>
      <c r="B767" s="83" t="s">
        <v>220</v>
      </c>
      <c r="C767" s="402">
        <v>2640000</v>
      </c>
      <c r="D767" s="86">
        <f t="shared" si="29"/>
        <v>2772000</v>
      </c>
      <c r="E767" s="86">
        <f t="shared" si="29"/>
        <v>2910600</v>
      </c>
    </row>
    <row r="768" spans="1:5" ht="15.65" x14ac:dyDescent="0.3">
      <c r="A768" s="83" t="s">
        <v>221</v>
      </c>
      <c r="B768" s="83" t="s">
        <v>222</v>
      </c>
      <c r="C768" s="400">
        <v>2945000</v>
      </c>
      <c r="D768" s="82">
        <f t="shared" si="29"/>
        <v>3092250</v>
      </c>
      <c r="E768" s="82">
        <f t="shared" si="29"/>
        <v>3246862.5</v>
      </c>
    </row>
    <row r="769" spans="1:5" ht="15.65" x14ac:dyDescent="0.3">
      <c r="A769" s="83" t="s">
        <v>262</v>
      </c>
      <c r="B769" s="83" t="s">
        <v>55</v>
      </c>
      <c r="C769" s="400">
        <v>100000</v>
      </c>
      <c r="D769" s="82">
        <f t="shared" si="29"/>
        <v>105000</v>
      </c>
      <c r="E769" s="82">
        <f t="shared" si="29"/>
        <v>110250</v>
      </c>
    </row>
    <row r="770" spans="1:5" ht="15.65" x14ac:dyDescent="0.3">
      <c r="A770" s="89">
        <v>2211019</v>
      </c>
      <c r="B770" s="90" t="s">
        <v>251</v>
      </c>
      <c r="C770" s="12">
        <v>0</v>
      </c>
      <c r="D770" s="82">
        <f t="shared" si="29"/>
        <v>0</v>
      </c>
      <c r="E770" s="82">
        <f t="shared" si="29"/>
        <v>0</v>
      </c>
    </row>
    <row r="771" spans="1:5" ht="15.65" x14ac:dyDescent="0.3">
      <c r="A771" s="83" t="s">
        <v>223</v>
      </c>
      <c r="B771" s="83" t="s">
        <v>224</v>
      </c>
      <c r="C771" s="400">
        <v>400000</v>
      </c>
      <c r="D771" s="82">
        <f t="shared" si="29"/>
        <v>420000</v>
      </c>
      <c r="E771" s="82">
        <f t="shared" si="29"/>
        <v>441000</v>
      </c>
    </row>
    <row r="772" spans="1:5" ht="15.65" x14ac:dyDescent="0.3">
      <c r="A772" s="83" t="s">
        <v>225</v>
      </c>
      <c r="B772" s="83" t="s">
        <v>263</v>
      </c>
      <c r="C772" s="400">
        <v>120000</v>
      </c>
      <c r="D772" s="82">
        <f t="shared" si="29"/>
        <v>126000</v>
      </c>
      <c r="E772" s="82">
        <f t="shared" si="29"/>
        <v>132300</v>
      </c>
    </row>
    <row r="773" spans="1:5" ht="15.65" x14ac:dyDescent="0.3">
      <c r="A773" s="80" t="s">
        <v>227</v>
      </c>
      <c r="B773" s="80" t="s">
        <v>56</v>
      </c>
      <c r="C773" s="85">
        <f>C774+C775+C776</f>
        <v>1608800</v>
      </c>
      <c r="D773" s="86">
        <f t="shared" si="29"/>
        <v>1689240</v>
      </c>
      <c r="E773" s="86">
        <f t="shared" si="29"/>
        <v>1773702</v>
      </c>
    </row>
    <row r="774" spans="1:5" ht="31.25" x14ac:dyDescent="0.3">
      <c r="A774" s="83" t="s">
        <v>138</v>
      </c>
      <c r="B774" s="83" t="s">
        <v>228</v>
      </c>
      <c r="C774" s="400">
        <v>800000</v>
      </c>
      <c r="D774" s="82">
        <f t="shared" si="29"/>
        <v>840000</v>
      </c>
      <c r="E774" s="82">
        <f t="shared" si="29"/>
        <v>882000</v>
      </c>
    </row>
    <row r="775" spans="1:5" ht="15.65" x14ac:dyDescent="0.3">
      <c r="A775" s="83" t="s">
        <v>229</v>
      </c>
      <c r="B775" s="83" t="s">
        <v>58</v>
      </c>
      <c r="C775" s="400">
        <v>158800</v>
      </c>
      <c r="D775" s="82">
        <f t="shared" si="29"/>
        <v>166740</v>
      </c>
      <c r="E775" s="82">
        <f t="shared" si="29"/>
        <v>175077</v>
      </c>
    </row>
    <row r="776" spans="1:5" ht="15.65" x14ac:dyDescent="0.3">
      <c r="A776" s="83" t="s">
        <v>140</v>
      </c>
      <c r="B776" s="83" t="s">
        <v>230</v>
      </c>
      <c r="C776" s="400">
        <v>650000</v>
      </c>
      <c r="D776" s="82">
        <f t="shared" si="29"/>
        <v>682500</v>
      </c>
      <c r="E776" s="82">
        <f t="shared" si="29"/>
        <v>716625</v>
      </c>
    </row>
    <row r="777" spans="1:5" ht="15.65" x14ac:dyDescent="0.3">
      <c r="A777" s="80" t="s">
        <v>231</v>
      </c>
      <c r="B777" s="80" t="s">
        <v>60</v>
      </c>
      <c r="C777" s="85">
        <f>C778+C779</f>
        <v>2480000</v>
      </c>
      <c r="D777" s="86">
        <f t="shared" si="29"/>
        <v>2604000</v>
      </c>
      <c r="E777" s="86">
        <f t="shared" si="29"/>
        <v>2734200</v>
      </c>
    </row>
    <row r="778" spans="1:5" ht="15.65" x14ac:dyDescent="0.3">
      <c r="A778" s="83" t="s">
        <v>142</v>
      </c>
      <c r="B778" s="83" t="s">
        <v>143</v>
      </c>
      <c r="C778" s="400">
        <v>1920000</v>
      </c>
      <c r="D778" s="82">
        <f t="shared" si="29"/>
        <v>2016000</v>
      </c>
      <c r="E778" s="82">
        <f t="shared" si="29"/>
        <v>2116800</v>
      </c>
    </row>
    <row r="779" spans="1:5" x14ac:dyDescent="0.35">
      <c r="A779" s="83" t="s">
        <v>232</v>
      </c>
      <c r="B779" s="83" t="s">
        <v>264</v>
      </c>
      <c r="C779" s="400">
        <v>560000</v>
      </c>
      <c r="D779" s="82">
        <f t="shared" si="29"/>
        <v>588000</v>
      </c>
      <c r="E779" s="82">
        <f t="shared" si="29"/>
        <v>617400</v>
      </c>
    </row>
    <row r="780" spans="1:5" ht="15.65" x14ac:dyDescent="0.3">
      <c r="A780" s="80" t="s">
        <v>234</v>
      </c>
      <c r="B780" s="80" t="s">
        <v>62</v>
      </c>
      <c r="C780" s="85">
        <f>C781+C782+C783+C784+C785</f>
        <v>800000</v>
      </c>
      <c r="D780" s="86">
        <f t="shared" si="29"/>
        <v>840000</v>
      </c>
      <c r="E780" s="86">
        <f t="shared" si="29"/>
        <v>882000</v>
      </c>
    </row>
    <row r="781" spans="1:5" ht="15.65" x14ac:dyDescent="0.3">
      <c r="A781" s="83" t="s">
        <v>265</v>
      </c>
      <c r="B781" s="83" t="s">
        <v>266</v>
      </c>
      <c r="C781" s="87">
        <v>0</v>
      </c>
      <c r="D781" s="82">
        <f t="shared" si="29"/>
        <v>0</v>
      </c>
      <c r="E781" s="82">
        <f t="shared" si="29"/>
        <v>0</v>
      </c>
    </row>
    <row r="782" spans="1:5" ht="15.65" x14ac:dyDescent="0.3">
      <c r="A782" s="83" t="s">
        <v>235</v>
      </c>
      <c r="B782" s="83" t="s">
        <v>267</v>
      </c>
      <c r="C782" s="401">
        <v>800000</v>
      </c>
      <c r="D782" s="82">
        <f t="shared" si="29"/>
        <v>840000</v>
      </c>
      <c r="E782" s="82">
        <f t="shared" si="29"/>
        <v>882000</v>
      </c>
    </row>
    <row r="783" spans="1:5" ht="15.65" x14ac:dyDescent="0.3">
      <c r="A783" s="83" t="s">
        <v>144</v>
      </c>
      <c r="B783" s="83" t="s">
        <v>64</v>
      </c>
      <c r="C783" s="88"/>
      <c r="D783" s="82">
        <f t="shared" si="29"/>
        <v>0</v>
      </c>
      <c r="E783" s="82">
        <f t="shared" si="29"/>
        <v>0</v>
      </c>
    </row>
    <row r="784" spans="1:5" ht="31.25" x14ac:dyDescent="0.3">
      <c r="A784" s="83" t="s">
        <v>145</v>
      </c>
      <c r="B784" s="83" t="s">
        <v>65</v>
      </c>
      <c r="C784" s="88">
        <v>0</v>
      </c>
      <c r="D784" s="82">
        <f t="shared" si="29"/>
        <v>0</v>
      </c>
      <c r="E784" s="82">
        <f t="shared" si="29"/>
        <v>0</v>
      </c>
    </row>
    <row r="785" spans="1:5" ht="15.65" x14ac:dyDescent="0.3">
      <c r="A785" s="83" t="s">
        <v>286</v>
      </c>
      <c r="B785" s="83" t="s">
        <v>69</v>
      </c>
      <c r="C785" s="88">
        <v>0</v>
      </c>
      <c r="D785" s="82">
        <f t="shared" si="29"/>
        <v>0</v>
      </c>
      <c r="E785" s="82">
        <f t="shared" si="29"/>
        <v>0</v>
      </c>
    </row>
    <row r="786" spans="1:5" ht="31.25" x14ac:dyDescent="0.3">
      <c r="A786" s="80" t="s">
        <v>237</v>
      </c>
      <c r="B786" s="80" t="s">
        <v>71</v>
      </c>
      <c r="C786" s="91">
        <f>C787</f>
        <v>560000</v>
      </c>
      <c r="D786" s="86">
        <f t="shared" si="29"/>
        <v>588000</v>
      </c>
      <c r="E786" s="86">
        <f t="shared" si="29"/>
        <v>617400</v>
      </c>
    </row>
    <row r="787" spans="1:5" ht="15.65" x14ac:dyDescent="0.3">
      <c r="A787" s="83" t="s">
        <v>148</v>
      </c>
      <c r="B787" s="83" t="s">
        <v>72</v>
      </c>
      <c r="C787" s="400">
        <v>560000</v>
      </c>
      <c r="D787" s="82">
        <f t="shared" si="29"/>
        <v>588000</v>
      </c>
      <c r="E787" s="82">
        <f t="shared" si="29"/>
        <v>617400</v>
      </c>
    </row>
    <row r="788" spans="1:5" ht="15.65" x14ac:dyDescent="0.3">
      <c r="A788" s="80" t="s">
        <v>238</v>
      </c>
      <c r="B788" s="80" t="s">
        <v>73</v>
      </c>
      <c r="C788" s="85">
        <f>C789+C790+C791+C792+C793</f>
        <v>1848800</v>
      </c>
      <c r="D788" s="86">
        <f t="shared" si="29"/>
        <v>1941240</v>
      </c>
      <c r="E788" s="86">
        <f t="shared" si="29"/>
        <v>2038302</v>
      </c>
    </row>
    <row r="789" spans="1:5" ht="31.25" x14ac:dyDescent="0.3">
      <c r="A789" s="83" t="s">
        <v>269</v>
      </c>
      <c r="B789" s="83" t="s">
        <v>74</v>
      </c>
      <c r="C789" s="401">
        <v>120000</v>
      </c>
      <c r="D789" s="82">
        <f t="shared" si="29"/>
        <v>126000</v>
      </c>
      <c r="E789" s="82">
        <f t="shared" si="29"/>
        <v>132300</v>
      </c>
    </row>
    <row r="790" spans="1:5" ht="15.65" x14ac:dyDescent="0.3">
      <c r="A790" s="83" t="s">
        <v>270</v>
      </c>
      <c r="B790" s="83" t="s">
        <v>75</v>
      </c>
      <c r="C790" s="401">
        <v>0</v>
      </c>
      <c r="D790" s="82">
        <f t="shared" si="29"/>
        <v>0</v>
      </c>
      <c r="E790" s="82">
        <f t="shared" si="29"/>
        <v>0</v>
      </c>
    </row>
    <row r="791" spans="1:5" ht="15.65" x14ac:dyDescent="0.3">
      <c r="A791" s="83" t="s">
        <v>239</v>
      </c>
      <c r="B791" s="83" t="s">
        <v>240</v>
      </c>
      <c r="C791" s="401">
        <v>128800</v>
      </c>
      <c r="D791" s="82">
        <f t="shared" si="29"/>
        <v>135240</v>
      </c>
      <c r="E791" s="82">
        <f t="shared" si="29"/>
        <v>142002</v>
      </c>
    </row>
    <row r="792" spans="1:5" ht="15.65" x14ac:dyDescent="0.3">
      <c r="A792" s="83" t="s">
        <v>241</v>
      </c>
      <c r="B792" s="83" t="s">
        <v>76</v>
      </c>
      <c r="C792" s="401">
        <v>1600000</v>
      </c>
      <c r="D792" s="82">
        <f t="shared" si="29"/>
        <v>1680000</v>
      </c>
      <c r="E792" s="82">
        <f t="shared" si="29"/>
        <v>1764000</v>
      </c>
    </row>
    <row r="793" spans="1:5" ht="15.65" x14ac:dyDescent="0.3">
      <c r="A793" s="83" t="s">
        <v>242</v>
      </c>
      <c r="B793" s="83" t="s">
        <v>77</v>
      </c>
      <c r="C793" s="401">
        <v>0</v>
      </c>
      <c r="D793" s="82">
        <f t="shared" si="29"/>
        <v>0</v>
      </c>
      <c r="E793" s="82">
        <f t="shared" si="29"/>
        <v>0</v>
      </c>
    </row>
    <row r="794" spans="1:5" ht="15.65" x14ac:dyDescent="0.3">
      <c r="A794" s="83"/>
      <c r="B794" s="83"/>
      <c r="C794" s="12"/>
      <c r="D794" s="82">
        <f t="shared" si="29"/>
        <v>0</v>
      </c>
      <c r="E794" s="82">
        <f t="shared" si="29"/>
        <v>0</v>
      </c>
    </row>
    <row r="795" spans="1:5" ht="15.65" x14ac:dyDescent="0.3">
      <c r="A795" s="80">
        <v>3110900</v>
      </c>
      <c r="B795" s="80" t="s">
        <v>271</v>
      </c>
      <c r="C795" s="92">
        <f>C796</f>
        <v>200050</v>
      </c>
      <c r="D795" s="366">
        <f t="shared" si="29"/>
        <v>210052.5</v>
      </c>
      <c r="E795" s="366">
        <f t="shared" si="29"/>
        <v>220555.125</v>
      </c>
    </row>
    <row r="796" spans="1:5" ht="15.65" x14ac:dyDescent="0.3">
      <c r="A796" s="83" t="s">
        <v>272</v>
      </c>
      <c r="B796" s="83" t="s">
        <v>273</v>
      </c>
      <c r="C796" s="401">
        <v>200050</v>
      </c>
      <c r="D796" s="82">
        <f t="shared" si="29"/>
        <v>210052.5</v>
      </c>
      <c r="E796" s="82">
        <f t="shared" si="29"/>
        <v>220555.125</v>
      </c>
    </row>
    <row r="797" spans="1:5" ht="15.65" x14ac:dyDescent="0.3">
      <c r="A797" s="80" t="s">
        <v>274</v>
      </c>
      <c r="B797" s="80" t="s">
        <v>82</v>
      </c>
      <c r="C797" s="92">
        <f>C798+C799</f>
        <v>410000</v>
      </c>
      <c r="D797" s="366">
        <f t="shared" si="29"/>
        <v>430500</v>
      </c>
      <c r="E797" s="366">
        <f t="shared" si="29"/>
        <v>452025</v>
      </c>
    </row>
    <row r="798" spans="1:5" ht="15.65" x14ac:dyDescent="0.3">
      <c r="A798" s="83" t="s">
        <v>153</v>
      </c>
      <c r="B798" s="83" t="s">
        <v>83</v>
      </c>
      <c r="C798" s="401">
        <v>200000</v>
      </c>
      <c r="D798" s="82">
        <f t="shared" ref="D798:E813" si="30">C798*1.05</f>
        <v>210000</v>
      </c>
      <c r="E798" s="82">
        <f t="shared" si="30"/>
        <v>220500</v>
      </c>
    </row>
    <row r="799" spans="1:5" ht="15.65" x14ac:dyDescent="0.3">
      <c r="A799" s="83" t="s">
        <v>275</v>
      </c>
      <c r="B799" s="83" t="s">
        <v>84</v>
      </c>
      <c r="C799" s="401">
        <v>210000</v>
      </c>
      <c r="D799" s="82">
        <f t="shared" si="30"/>
        <v>220500</v>
      </c>
      <c r="E799" s="82">
        <f t="shared" si="30"/>
        <v>231525</v>
      </c>
    </row>
    <row r="800" spans="1:5" ht="15.65" x14ac:dyDescent="0.3">
      <c r="A800" s="83" t="s">
        <v>276</v>
      </c>
      <c r="B800" s="12" t="s">
        <v>750</v>
      </c>
      <c r="C800" s="12"/>
      <c r="D800" s="82">
        <f t="shared" si="30"/>
        <v>0</v>
      </c>
      <c r="E800" s="82">
        <f t="shared" si="30"/>
        <v>0</v>
      </c>
    </row>
    <row r="801" spans="1:5" ht="15.65" x14ac:dyDescent="0.3">
      <c r="A801" s="12">
        <v>3110701</v>
      </c>
      <c r="B801" s="83" t="s">
        <v>277</v>
      </c>
      <c r="C801" s="87">
        <v>0</v>
      </c>
      <c r="D801" s="82">
        <f t="shared" si="30"/>
        <v>0</v>
      </c>
      <c r="E801" s="82">
        <f t="shared" si="30"/>
        <v>0</v>
      </c>
    </row>
    <row r="802" spans="1:5" ht="15.65" x14ac:dyDescent="0.3">
      <c r="A802" s="80" t="s">
        <v>278</v>
      </c>
      <c r="B802" s="80" t="s">
        <v>279</v>
      </c>
      <c r="C802" s="395">
        <f>C803+C804</f>
        <v>200000</v>
      </c>
      <c r="D802" s="82">
        <f t="shared" si="30"/>
        <v>210000</v>
      </c>
      <c r="E802" s="82">
        <f t="shared" si="30"/>
        <v>220500</v>
      </c>
    </row>
    <row r="803" spans="1:5" ht="15.65" x14ac:dyDescent="0.3">
      <c r="A803" s="83" t="s">
        <v>280</v>
      </c>
      <c r="B803" s="83" t="s">
        <v>281</v>
      </c>
      <c r="C803" s="88">
        <v>0</v>
      </c>
      <c r="D803" s="82">
        <f t="shared" si="30"/>
        <v>0</v>
      </c>
      <c r="E803" s="82">
        <f t="shared" si="30"/>
        <v>0</v>
      </c>
    </row>
    <row r="804" spans="1:5" ht="31.25" x14ac:dyDescent="0.3">
      <c r="A804" s="83" t="s">
        <v>282</v>
      </c>
      <c r="B804" s="83" t="s">
        <v>283</v>
      </c>
      <c r="C804" s="401">
        <v>200000</v>
      </c>
      <c r="D804" s="82">
        <f t="shared" si="30"/>
        <v>210000</v>
      </c>
      <c r="E804" s="82">
        <f t="shared" si="30"/>
        <v>220500</v>
      </c>
    </row>
    <row r="805" spans="1:5" ht="15.65" x14ac:dyDescent="0.3">
      <c r="A805" s="83">
        <v>3111403</v>
      </c>
      <c r="B805" s="83" t="s">
        <v>284</v>
      </c>
      <c r="C805" s="82"/>
      <c r="D805" s="82">
        <f t="shared" si="30"/>
        <v>0</v>
      </c>
      <c r="E805" s="82">
        <f t="shared" si="30"/>
        <v>0</v>
      </c>
    </row>
    <row r="806" spans="1:5" ht="31.25" x14ac:dyDescent="0.3">
      <c r="A806" s="83"/>
      <c r="B806" s="80" t="s">
        <v>911</v>
      </c>
      <c r="C806" s="78">
        <f>C732+C735+C739+C757+C762+C773+C777+C780+C786+C788+C795+C797+C804</f>
        <v>26494123</v>
      </c>
      <c r="D806" s="86">
        <f t="shared" si="30"/>
        <v>27818829.150000002</v>
      </c>
      <c r="E806" s="86">
        <f t="shared" si="30"/>
        <v>29209770.607500002</v>
      </c>
    </row>
    <row r="807" spans="1:5" ht="15.65" x14ac:dyDescent="0.3">
      <c r="A807" s="339"/>
      <c r="B807" s="76"/>
      <c r="C807" s="397"/>
      <c r="D807" s="82">
        <f t="shared" si="30"/>
        <v>0</v>
      </c>
      <c r="E807" s="82">
        <f t="shared" si="30"/>
        <v>0</v>
      </c>
    </row>
    <row r="808" spans="1:5" ht="15.65" x14ac:dyDescent="0.3">
      <c r="A808" s="148"/>
      <c r="B808" s="380" t="s">
        <v>897</v>
      </c>
      <c r="C808" s="397"/>
      <c r="D808" s="82">
        <f t="shared" si="30"/>
        <v>0</v>
      </c>
      <c r="E808" s="82">
        <f t="shared" si="30"/>
        <v>0</v>
      </c>
    </row>
    <row r="809" spans="1:5" ht="15.65" x14ac:dyDescent="0.3">
      <c r="A809" s="339">
        <v>3110599</v>
      </c>
      <c r="B809" s="393" t="s">
        <v>699</v>
      </c>
      <c r="C809" s="397">
        <v>0</v>
      </c>
      <c r="D809" s="82">
        <f t="shared" si="30"/>
        <v>0</v>
      </c>
      <c r="E809" s="82">
        <f t="shared" si="30"/>
        <v>0</v>
      </c>
    </row>
    <row r="810" spans="1:5" ht="15.65" x14ac:dyDescent="0.3">
      <c r="A810" s="76">
        <v>3110504</v>
      </c>
      <c r="B810" s="147" t="s">
        <v>583</v>
      </c>
      <c r="C810" s="397">
        <v>0</v>
      </c>
      <c r="D810" s="82">
        <f t="shared" si="30"/>
        <v>0</v>
      </c>
      <c r="E810" s="82">
        <f t="shared" si="30"/>
        <v>0</v>
      </c>
    </row>
    <row r="811" spans="1:5" ht="15.65" x14ac:dyDescent="0.3">
      <c r="A811" s="347" t="s">
        <v>272</v>
      </c>
      <c r="B811" s="357" t="s">
        <v>273</v>
      </c>
      <c r="C811" s="397">
        <v>0</v>
      </c>
      <c r="D811" s="82">
        <f t="shared" si="30"/>
        <v>0</v>
      </c>
      <c r="E811" s="82">
        <f t="shared" si="30"/>
        <v>0</v>
      </c>
    </row>
    <row r="812" spans="1:5" ht="15.65" x14ac:dyDescent="0.3">
      <c r="A812" s="76">
        <v>2410104</v>
      </c>
      <c r="B812" s="147" t="s">
        <v>751</v>
      </c>
      <c r="C812" s="397">
        <v>0</v>
      </c>
      <c r="D812" s="82">
        <f t="shared" si="30"/>
        <v>0</v>
      </c>
      <c r="E812" s="82">
        <f t="shared" si="30"/>
        <v>0</v>
      </c>
    </row>
    <row r="813" spans="1:5" ht="15.65" x14ac:dyDescent="0.3">
      <c r="A813" s="339">
        <v>2410104</v>
      </c>
      <c r="B813" s="339" t="s">
        <v>245</v>
      </c>
      <c r="C813" s="397">
        <v>0</v>
      </c>
      <c r="D813" s="82">
        <f t="shared" si="30"/>
        <v>0</v>
      </c>
      <c r="E813" s="82">
        <f t="shared" si="30"/>
        <v>0</v>
      </c>
    </row>
    <row r="814" spans="1:5" ht="31.25" x14ac:dyDescent="0.3">
      <c r="A814" s="339"/>
      <c r="B814" s="380" t="s">
        <v>912</v>
      </c>
      <c r="C814" s="397">
        <f>C809+C810+C811+C812+C813</f>
        <v>0</v>
      </c>
      <c r="D814" s="82">
        <f t="shared" ref="D814:E815" si="31">C814*1.05</f>
        <v>0</v>
      </c>
      <c r="E814" s="82">
        <f t="shared" si="31"/>
        <v>0</v>
      </c>
    </row>
    <row r="815" spans="1:5" ht="46.75" x14ac:dyDescent="0.3">
      <c r="A815" s="339"/>
      <c r="B815" s="380" t="s">
        <v>913</v>
      </c>
      <c r="C815" s="396">
        <f>C806+C814</f>
        <v>26494123</v>
      </c>
      <c r="D815" s="366">
        <f t="shared" si="31"/>
        <v>27818829.150000002</v>
      </c>
      <c r="E815" s="366">
        <f t="shared" si="31"/>
        <v>29209770.607500002</v>
      </c>
    </row>
    <row r="816" spans="1:5" ht="15.65" x14ac:dyDescent="0.3">
      <c r="A816" s="148"/>
      <c r="B816" s="380"/>
      <c r="C816" s="342"/>
      <c r="D816" s="82"/>
      <c r="E816" s="82"/>
    </row>
    <row r="817" spans="1:5" ht="31.25" x14ac:dyDescent="0.3">
      <c r="A817" s="78"/>
      <c r="B817" s="78" t="s">
        <v>299</v>
      </c>
      <c r="C817" s="79" t="s">
        <v>184</v>
      </c>
      <c r="D817" s="79" t="s">
        <v>746</v>
      </c>
      <c r="E817" s="79" t="s">
        <v>791</v>
      </c>
    </row>
    <row r="818" spans="1:5" ht="15.65" x14ac:dyDescent="0.3">
      <c r="A818" s="78"/>
      <c r="B818" s="78" t="s">
        <v>902</v>
      </c>
      <c r="C818" s="79"/>
      <c r="D818" s="79"/>
      <c r="E818" s="79"/>
    </row>
    <row r="819" spans="1:5" ht="15.65" x14ac:dyDescent="0.3">
      <c r="A819" s="80" t="s">
        <v>185</v>
      </c>
      <c r="B819" s="80" t="s">
        <v>186</v>
      </c>
      <c r="C819" s="81">
        <f>C820</f>
        <v>0</v>
      </c>
      <c r="D819" s="82"/>
      <c r="E819" s="82"/>
    </row>
    <row r="820" spans="1:5" ht="15.65" x14ac:dyDescent="0.3">
      <c r="A820" s="83" t="s">
        <v>98</v>
      </c>
      <c r="B820" s="83" t="s">
        <v>99</v>
      </c>
      <c r="C820" s="81">
        <v>0</v>
      </c>
      <c r="D820" s="82"/>
      <c r="E820" s="82"/>
    </row>
    <row r="821" spans="1:5" ht="15.65" x14ac:dyDescent="0.3">
      <c r="A821" s="80" t="s">
        <v>3</v>
      </c>
      <c r="B821" s="80" t="s">
        <v>4</v>
      </c>
      <c r="C821" s="78">
        <f>C822</f>
        <v>0</v>
      </c>
      <c r="D821" s="82"/>
      <c r="E821" s="82"/>
    </row>
    <row r="822" spans="1:5" ht="15.65" x14ac:dyDescent="0.3">
      <c r="A822" s="83" t="s">
        <v>5</v>
      </c>
      <c r="B822" s="83" t="s">
        <v>6</v>
      </c>
      <c r="C822" s="81">
        <v>0</v>
      </c>
      <c r="D822" s="82"/>
      <c r="E822" s="82"/>
    </row>
    <row r="823" spans="1:5" ht="15.65" x14ac:dyDescent="0.3">
      <c r="A823" s="80" t="s">
        <v>289</v>
      </c>
      <c r="B823" s="80" t="s">
        <v>290</v>
      </c>
      <c r="C823" s="81">
        <f>C824+C825</f>
        <v>0</v>
      </c>
      <c r="D823" s="82"/>
      <c r="E823" s="82"/>
    </row>
    <row r="824" spans="1:5" ht="15.65" x14ac:dyDescent="0.3">
      <c r="A824" s="83" t="s">
        <v>291</v>
      </c>
      <c r="B824" s="83" t="s">
        <v>10</v>
      </c>
      <c r="C824" s="81">
        <v>0</v>
      </c>
      <c r="D824" s="82"/>
      <c r="E824" s="82"/>
    </row>
    <row r="825" spans="1:5" ht="15.65" x14ac:dyDescent="0.3">
      <c r="A825" s="83" t="s">
        <v>292</v>
      </c>
      <c r="B825" s="83" t="s">
        <v>293</v>
      </c>
      <c r="C825" s="81">
        <v>0</v>
      </c>
      <c r="D825" s="82"/>
      <c r="E825" s="82"/>
    </row>
    <row r="826" spans="1:5" ht="15.65" x14ac:dyDescent="0.3">
      <c r="A826" s="80" t="s">
        <v>294</v>
      </c>
      <c r="B826" s="80" t="s">
        <v>295</v>
      </c>
      <c r="C826" s="81">
        <v>0</v>
      </c>
      <c r="D826" s="82"/>
      <c r="E826" s="82"/>
    </row>
    <row r="827" spans="1:5" ht="15.65" x14ac:dyDescent="0.3">
      <c r="A827" s="80">
        <v>2410104</v>
      </c>
      <c r="B827" s="84" t="s">
        <v>268</v>
      </c>
      <c r="C827" s="78">
        <v>0</v>
      </c>
      <c r="D827" s="82"/>
      <c r="E827" s="82"/>
    </row>
    <row r="828" spans="1:5" ht="15.65" x14ac:dyDescent="0.3">
      <c r="A828" s="80" t="s">
        <v>192</v>
      </c>
      <c r="B828" s="80" t="s">
        <v>23</v>
      </c>
      <c r="C828" s="85">
        <f>C829+C830</f>
        <v>1900000</v>
      </c>
      <c r="D828" s="86">
        <f>C828*1.05</f>
        <v>1995000</v>
      </c>
      <c r="E828" s="86">
        <f>D828*1.05</f>
        <v>2094750</v>
      </c>
    </row>
    <row r="829" spans="1:5" ht="15.65" x14ac:dyDescent="0.3">
      <c r="A829" s="83" t="s">
        <v>101</v>
      </c>
      <c r="B829" s="83" t="s">
        <v>102</v>
      </c>
      <c r="C829" s="403">
        <v>1800000</v>
      </c>
      <c r="D829" s="82">
        <f t="shared" ref="D829:E844" si="32">C829*1.05</f>
        <v>1890000</v>
      </c>
      <c r="E829" s="82">
        <f t="shared" si="32"/>
        <v>1984500</v>
      </c>
    </row>
    <row r="830" spans="1:5" ht="15.65" x14ac:dyDescent="0.3">
      <c r="A830" s="83" t="s">
        <v>103</v>
      </c>
      <c r="B830" s="83" t="s">
        <v>104</v>
      </c>
      <c r="C830" s="403">
        <v>100000</v>
      </c>
      <c r="D830" s="82">
        <f t="shared" si="32"/>
        <v>105000</v>
      </c>
      <c r="E830" s="82">
        <f t="shared" si="32"/>
        <v>110250</v>
      </c>
    </row>
    <row r="831" spans="1:5" ht="15.65" x14ac:dyDescent="0.3">
      <c r="A831" s="80" t="s">
        <v>193</v>
      </c>
      <c r="B831" s="80" t="s">
        <v>194</v>
      </c>
      <c r="C831" s="88">
        <f>C832+C833+C834</f>
        <v>590000</v>
      </c>
      <c r="D831" s="82">
        <f t="shared" si="32"/>
        <v>619500</v>
      </c>
      <c r="E831" s="82">
        <f t="shared" si="32"/>
        <v>650475</v>
      </c>
    </row>
    <row r="832" spans="1:5" ht="15.65" x14ac:dyDescent="0.3">
      <c r="A832" s="83">
        <v>2210201</v>
      </c>
      <c r="B832" s="83" t="s">
        <v>106</v>
      </c>
      <c r="C832" s="403">
        <v>300000</v>
      </c>
      <c r="D832" s="82">
        <f t="shared" si="32"/>
        <v>315000</v>
      </c>
      <c r="E832" s="82">
        <f t="shared" si="32"/>
        <v>330750</v>
      </c>
    </row>
    <row r="833" spans="1:5" ht="15.65" x14ac:dyDescent="0.3">
      <c r="A833" s="83" t="s">
        <v>107</v>
      </c>
      <c r="B833" s="83" t="s">
        <v>108</v>
      </c>
      <c r="C833" s="403">
        <v>240000</v>
      </c>
      <c r="D833" s="82">
        <f t="shared" si="32"/>
        <v>252000</v>
      </c>
      <c r="E833" s="82">
        <f t="shared" si="32"/>
        <v>264600</v>
      </c>
    </row>
    <row r="834" spans="1:5" ht="15.65" x14ac:dyDescent="0.3">
      <c r="A834" s="83" t="s">
        <v>109</v>
      </c>
      <c r="B834" s="83" t="s">
        <v>29</v>
      </c>
      <c r="C834" s="403">
        <v>50000</v>
      </c>
      <c r="D834" s="82">
        <f t="shared" si="32"/>
        <v>52500</v>
      </c>
      <c r="E834" s="82">
        <f t="shared" si="32"/>
        <v>55125</v>
      </c>
    </row>
    <row r="835" spans="1:5" ht="31.25" x14ac:dyDescent="0.3">
      <c r="A835" s="80" t="s">
        <v>195</v>
      </c>
      <c r="B835" s="80" t="s">
        <v>30</v>
      </c>
      <c r="C835" s="92">
        <f>C836+C837+C838</f>
        <v>1072313</v>
      </c>
      <c r="D835" s="366">
        <f t="shared" si="32"/>
        <v>1125928.6500000001</v>
      </c>
      <c r="E835" s="366">
        <f t="shared" si="32"/>
        <v>1182225.0825000003</v>
      </c>
    </row>
    <row r="836" spans="1:5" ht="31.25" x14ac:dyDescent="0.3">
      <c r="A836" s="83" t="s">
        <v>110</v>
      </c>
      <c r="B836" s="83" t="s">
        <v>111</v>
      </c>
      <c r="C836" s="403">
        <v>172313</v>
      </c>
      <c r="D836" s="82">
        <f t="shared" si="32"/>
        <v>180928.65</v>
      </c>
      <c r="E836" s="82">
        <f t="shared" si="32"/>
        <v>189975.08249999999</v>
      </c>
    </row>
    <row r="837" spans="1:5" ht="15.65" x14ac:dyDescent="0.3">
      <c r="A837" s="83" t="s">
        <v>112</v>
      </c>
      <c r="B837" s="83" t="s">
        <v>113</v>
      </c>
      <c r="C837" s="403">
        <v>500000</v>
      </c>
      <c r="D837" s="82">
        <f t="shared" si="32"/>
        <v>525000</v>
      </c>
      <c r="E837" s="82">
        <f t="shared" si="32"/>
        <v>551250</v>
      </c>
    </row>
    <row r="838" spans="1:5" ht="15.65" x14ac:dyDescent="0.3">
      <c r="A838" s="83" t="s">
        <v>114</v>
      </c>
      <c r="B838" s="83" t="s">
        <v>115</v>
      </c>
      <c r="C838" s="403">
        <v>400000</v>
      </c>
      <c r="D838" s="82">
        <f t="shared" si="32"/>
        <v>420000</v>
      </c>
      <c r="E838" s="82">
        <f t="shared" si="32"/>
        <v>441000</v>
      </c>
    </row>
    <row r="839" spans="1:5" ht="31.25" x14ac:dyDescent="0.3">
      <c r="A839" s="80" t="s">
        <v>117</v>
      </c>
      <c r="B839" s="80" t="s">
        <v>118</v>
      </c>
      <c r="C839" s="88">
        <v>0</v>
      </c>
      <c r="D839" s="82">
        <f t="shared" si="32"/>
        <v>0</v>
      </c>
      <c r="E839" s="82">
        <f t="shared" si="32"/>
        <v>0</v>
      </c>
    </row>
    <row r="840" spans="1:5" ht="15.65" x14ac:dyDescent="0.3">
      <c r="A840" s="83" t="s">
        <v>119</v>
      </c>
      <c r="B840" s="83" t="s">
        <v>120</v>
      </c>
      <c r="C840" s="88">
        <v>0</v>
      </c>
      <c r="D840" s="82">
        <f t="shared" si="32"/>
        <v>0</v>
      </c>
      <c r="E840" s="82">
        <f t="shared" si="32"/>
        <v>0</v>
      </c>
    </row>
    <row r="841" spans="1:5" ht="15.65" x14ac:dyDescent="0.3">
      <c r="A841" s="83" t="s">
        <v>197</v>
      </c>
      <c r="B841" s="83" t="s">
        <v>198</v>
      </c>
      <c r="C841" s="88">
        <v>0</v>
      </c>
      <c r="D841" s="82">
        <f t="shared" si="32"/>
        <v>0</v>
      </c>
      <c r="E841" s="82">
        <f t="shared" si="32"/>
        <v>0</v>
      </c>
    </row>
    <row r="842" spans="1:5" ht="15.65" x14ac:dyDescent="0.3">
      <c r="A842" s="83" t="s">
        <v>121</v>
      </c>
      <c r="B842" s="83" t="s">
        <v>115</v>
      </c>
      <c r="C842" s="88">
        <v>0</v>
      </c>
      <c r="D842" s="82">
        <f t="shared" si="32"/>
        <v>0</v>
      </c>
      <c r="E842" s="82">
        <f t="shared" si="32"/>
        <v>0</v>
      </c>
    </row>
    <row r="843" spans="1:5" ht="31.25" x14ac:dyDescent="0.3">
      <c r="A843" s="80" t="s">
        <v>199</v>
      </c>
      <c r="B843" s="80" t="s">
        <v>38</v>
      </c>
      <c r="C843" s="92">
        <f>C844</f>
        <v>100000</v>
      </c>
      <c r="D843" s="366">
        <f t="shared" si="32"/>
        <v>105000</v>
      </c>
      <c r="E843" s="366">
        <f t="shared" si="32"/>
        <v>110250</v>
      </c>
    </row>
    <row r="844" spans="1:5" ht="15.65" x14ac:dyDescent="0.3">
      <c r="A844" s="83" t="s">
        <v>200</v>
      </c>
      <c r="B844" s="83" t="s">
        <v>201</v>
      </c>
      <c r="C844" s="403">
        <v>100000</v>
      </c>
      <c r="D844" s="82">
        <f t="shared" si="32"/>
        <v>105000</v>
      </c>
      <c r="E844" s="82">
        <f t="shared" si="32"/>
        <v>110250</v>
      </c>
    </row>
    <row r="845" spans="1:5" ht="15.65" x14ac:dyDescent="0.3">
      <c r="A845" s="83" t="s">
        <v>122</v>
      </c>
      <c r="B845" s="83" t="s">
        <v>123</v>
      </c>
      <c r="C845" s="88">
        <v>0</v>
      </c>
      <c r="D845" s="82">
        <f t="shared" ref="D845:E860" si="33">C845*1.05</f>
        <v>0</v>
      </c>
      <c r="E845" s="82">
        <f t="shared" si="33"/>
        <v>0</v>
      </c>
    </row>
    <row r="846" spans="1:5" ht="15.65" x14ac:dyDescent="0.3">
      <c r="A846" s="83" t="s">
        <v>124</v>
      </c>
      <c r="B846" s="83" t="s">
        <v>125</v>
      </c>
      <c r="C846" s="88">
        <v>0</v>
      </c>
      <c r="D846" s="82">
        <f t="shared" si="33"/>
        <v>0</v>
      </c>
      <c r="E846" s="82">
        <f t="shared" si="33"/>
        <v>0</v>
      </c>
    </row>
    <row r="847" spans="1:5" ht="15.65" x14ac:dyDescent="0.3">
      <c r="A847" s="83" t="s">
        <v>202</v>
      </c>
      <c r="B847" s="83" t="s">
        <v>41</v>
      </c>
      <c r="C847" s="82"/>
      <c r="D847" s="82">
        <f t="shared" si="33"/>
        <v>0</v>
      </c>
      <c r="E847" s="82">
        <f t="shared" si="33"/>
        <v>0</v>
      </c>
    </row>
    <row r="848" spans="1:5" ht="15.65" x14ac:dyDescent="0.3">
      <c r="A848" s="80" t="s">
        <v>259</v>
      </c>
      <c r="B848" s="80" t="s">
        <v>42</v>
      </c>
      <c r="C848" s="85">
        <f>C849+C850+C851</f>
        <v>300000</v>
      </c>
      <c r="D848" s="86">
        <f t="shared" si="33"/>
        <v>315000</v>
      </c>
      <c r="E848" s="86">
        <f t="shared" si="33"/>
        <v>330750</v>
      </c>
    </row>
    <row r="849" spans="1:5" ht="15.65" x14ac:dyDescent="0.3">
      <c r="A849" s="83" t="s">
        <v>260</v>
      </c>
      <c r="B849" s="83" t="s">
        <v>43</v>
      </c>
      <c r="C849" s="88">
        <v>0</v>
      </c>
      <c r="D849" s="82">
        <f t="shared" si="33"/>
        <v>0</v>
      </c>
      <c r="E849" s="82">
        <f t="shared" si="33"/>
        <v>0</v>
      </c>
    </row>
    <row r="850" spans="1:5" ht="15.65" x14ac:dyDescent="0.3">
      <c r="A850" s="80" t="s">
        <v>203</v>
      </c>
      <c r="B850" s="80" t="s">
        <v>45</v>
      </c>
      <c r="C850" s="88">
        <v>0</v>
      </c>
      <c r="D850" s="82">
        <f t="shared" si="33"/>
        <v>0</v>
      </c>
      <c r="E850" s="82">
        <f t="shared" si="33"/>
        <v>0</v>
      </c>
    </row>
    <row r="851" spans="1:5" ht="15.65" x14ac:dyDescent="0.3">
      <c r="A851" s="83" t="s">
        <v>127</v>
      </c>
      <c r="B851" s="83" t="s">
        <v>128</v>
      </c>
      <c r="C851" s="403">
        <v>300000</v>
      </c>
      <c r="D851" s="82">
        <f t="shared" si="33"/>
        <v>315000</v>
      </c>
      <c r="E851" s="82">
        <f t="shared" si="33"/>
        <v>330750</v>
      </c>
    </row>
    <row r="852" spans="1:5" ht="15.65" x14ac:dyDescent="0.3">
      <c r="A852" s="83" t="s">
        <v>129</v>
      </c>
      <c r="B852" s="83" t="s">
        <v>130</v>
      </c>
      <c r="C852" s="88">
        <v>0</v>
      </c>
      <c r="D852" s="82">
        <f t="shared" si="33"/>
        <v>0</v>
      </c>
      <c r="E852" s="82">
        <f t="shared" si="33"/>
        <v>0</v>
      </c>
    </row>
    <row r="853" spans="1:5" ht="15.65" x14ac:dyDescent="0.3">
      <c r="A853" s="80" t="s">
        <v>205</v>
      </c>
      <c r="B853" s="80" t="s">
        <v>48</v>
      </c>
      <c r="C853" s="85">
        <f>C854+C855</f>
        <v>2649000</v>
      </c>
      <c r="D853" s="86">
        <f t="shared" si="33"/>
        <v>2781450</v>
      </c>
      <c r="E853" s="86">
        <f t="shared" si="33"/>
        <v>2920522.5</v>
      </c>
    </row>
    <row r="854" spans="1:5" ht="31.25" x14ac:dyDescent="0.3">
      <c r="A854" s="83" t="s">
        <v>131</v>
      </c>
      <c r="B854" s="83" t="s">
        <v>206</v>
      </c>
      <c r="C854" s="403">
        <v>1249000</v>
      </c>
      <c r="D854" s="82">
        <f t="shared" si="33"/>
        <v>1311450</v>
      </c>
      <c r="E854" s="82">
        <f t="shared" si="33"/>
        <v>1377022.5</v>
      </c>
    </row>
    <row r="855" spans="1:5" ht="15.65" x14ac:dyDescent="0.3">
      <c r="A855" s="83" t="s">
        <v>133</v>
      </c>
      <c r="B855" s="83" t="s">
        <v>207</v>
      </c>
      <c r="C855" s="403">
        <v>1400000</v>
      </c>
      <c r="D855" s="82">
        <f t="shared" si="33"/>
        <v>1470000</v>
      </c>
      <c r="E855" s="82">
        <f t="shared" si="33"/>
        <v>1543500</v>
      </c>
    </row>
    <row r="856" spans="1:5" ht="15.65" x14ac:dyDescent="0.3">
      <c r="A856" s="80" t="s">
        <v>208</v>
      </c>
      <c r="B856" s="80" t="s">
        <v>209</v>
      </c>
      <c r="C856" s="82"/>
      <c r="D856" s="82">
        <f t="shared" si="33"/>
        <v>0</v>
      </c>
      <c r="E856" s="82">
        <f t="shared" si="33"/>
        <v>0</v>
      </c>
    </row>
    <row r="857" spans="1:5" ht="15.65" x14ac:dyDescent="0.3">
      <c r="A857" s="83" t="s">
        <v>210</v>
      </c>
      <c r="B857" s="83" t="s">
        <v>66</v>
      </c>
      <c r="C857" s="82"/>
      <c r="D857" s="82">
        <f t="shared" si="33"/>
        <v>0</v>
      </c>
      <c r="E857" s="82">
        <f t="shared" si="33"/>
        <v>0</v>
      </c>
    </row>
    <row r="858" spans="1:5" ht="15.65" x14ac:dyDescent="0.3">
      <c r="A858" s="80" t="s">
        <v>211</v>
      </c>
      <c r="B858" s="80" t="s">
        <v>51</v>
      </c>
      <c r="C858" s="85">
        <f>C859+C860+C861+C862+C863+C864+C865+C866+C867+C868</f>
        <v>20950000</v>
      </c>
      <c r="D858" s="86">
        <f t="shared" si="33"/>
        <v>21997500</v>
      </c>
      <c r="E858" s="86">
        <f t="shared" si="33"/>
        <v>23097375</v>
      </c>
    </row>
    <row r="859" spans="1:5" ht="15.65" x14ac:dyDescent="0.3">
      <c r="A859" s="83" t="s">
        <v>212</v>
      </c>
      <c r="B859" s="83" t="s">
        <v>213</v>
      </c>
      <c r="C859" s="403">
        <v>6300000</v>
      </c>
      <c r="D859" s="82">
        <f t="shared" si="33"/>
        <v>6615000</v>
      </c>
      <c r="E859" s="82">
        <f t="shared" si="33"/>
        <v>6945750</v>
      </c>
    </row>
    <row r="860" spans="1:5" ht="15.65" x14ac:dyDescent="0.3">
      <c r="A860" s="83" t="s">
        <v>214</v>
      </c>
      <c r="B860" s="83" t="s">
        <v>215</v>
      </c>
      <c r="C860" s="403">
        <v>6400000</v>
      </c>
      <c r="D860" s="82">
        <f t="shared" si="33"/>
        <v>6720000</v>
      </c>
      <c r="E860" s="82">
        <f t="shared" si="33"/>
        <v>7056000</v>
      </c>
    </row>
    <row r="861" spans="1:5" ht="15.65" x14ac:dyDescent="0.3">
      <c r="A861" s="83" t="s">
        <v>216</v>
      </c>
      <c r="B861" s="83" t="s">
        <v>217</v>
      </c>
      <c r="C861" s="403">
        <v>300000</v>
      </c>
      <c r="D861" s="82">
        <f t="shared" ref="D861:E876" si="34">C861*1.05</f>
        <v>315000</v>
      </c>
      <c r="E861" s="82">
        <f t="shared" si="34"/>
        <v>330750</v>
      </c>
    </row>
    <row r="862" spans="1:5" ht="15.65" x14ac:dyDescent="0.3">
      <c r="A862" s="83" t="s">
        <v>261</v>
      </c>
      <c r="B862" s="83" t="s">
        <v>218</v>
      </c>
      <c r="C862" s="403">
        <v>100000</v>
      </c>
      <c r="D862" s="82">
        <f t="shared" si="34"/>
        <v>105000</v>
      </c>
      <c r="E862" s="82">
        <f t="shared" si="34"/>
        <v>110250</v>
      </c>
    </row>
    <row r="863" spans="1:5" ht="15.65" x14ac:dyDescent="0.3">
      <c r="A863" s="83" t="s">
        <v>219</v>
      </c>
      <c r="B863" s="83" t="s">
        <v>220</v>
      </c>
      <c r="C863" s="403">
        <v>2900000</v>
      </c>
      <c r="D863" s="82">
        <f t="shared" si="34"/>
        <v>3045000</v>
      </c>
      <c r="E863" s="82">
        <f t="shared" si="34"/>
        <v>3197250</v>
      </c>
    </row>
    <row r="864" spans="1:5" ht="15.65" x14ac:dyDescent="0.3">
      <c r="A864" s="83" t="s">
        <v>221</v>
      </c>
      <c r="B864" s="83" t="s">
        <v>222</v>
      </c>
      <c r="C864" s="403">
        <v>3800000</v>
      </c>
      <c r="D864" s="82">
        <f t="shared" si="34"/>
        <v>3990000</v>
      </c>
      <c r="E864" s="82">
        <f t="shared" si="34"/>
        <v>4189500</v>
      </c>
    </row>
    <row r="865" spans="1:5" ht="15.65" x14ac:dyDescent="0.3">
      <c r="A865" s="83" t="s">
        <v>262</v>
      </c>
      <c r="B865" s="83" t="s">
        <v>55</v>
      </c>
      <c r="C865" s="403">
        <v>150000</v>
      </c>
      <c r="D865" s="82">
        <f t="shared" si="34"/>
        <v>157500</v>
      </c>
      <c r="E865" s="82">
        <f t="shared" si="34"/>
        <v>165375</v>
      </c>
    </row>
    <row r="866" spans="1:5" ht="15.65" x14ac:dyDescent="0.3">
      <c r="A866" s="89">
        <v>2211019</v>
      </c>
      <c r="B866" s="90" t="s">
        <v>251</v>
      </c>
      <c r="C866" s="12">
        <v>0</v>
      </c>
      <c r="D866" s="82">
        <f t="shared" si="34"/>
        <v>0</v>
      </c>
      <c r="E866" s="82">
        <f t="shared" si="34"/>
        <v>0</v>
      </c>
    </row>
    <row r="867" spans="1:5" ht="15.65" x14ac:dyDescent="0.3">
      <c r="A867" s="83" t="s">
        <v>223</v>
      </c>
      <c r="B867" s="83" t="s">
        <v>224</v>
      </c>
      <c r="C867" s="403">
        <v>600000</v>
      </c>
      <c r="D867" s="82">
        <f t="shared" si="34"/>
        <v>630000</v>
      </c>
      <c r="E867" s="82">
        <f t="shared" si="34"/>
        <v>661500</v>
      </c>
    </row>
    <row r="868" spans="1:5" ht="15.65" x14ac:dyDescent="0.3">
      <c r="A868" s="83" t="s">
        <v>225</v>
      </c>
      <c r="B868" s="83" t="s">
        <v>263</v>
      </c>
      <c r="C868" s="403">
        <v>400000</v>
      </c>
      <c r="D868" s="82">
        <f t="shared" si="34"/>
        <v>420000</v>
      </c>
      <c r="E868" s="82">
        <f t="shared" si="34"/>
        <v>441000</v>
      </c>
    </row>
    <row r="869" spans="1:5" ht="15.65" x14ac:dyDescent="0.3">
      <c r="A869" s="80" t="s">
        <v>227</v>
      </c>
      <c r="B869" s="80" t="s">
        <v>56</v>
      </c>
      <c r="C869" s="85">
        <f>C870+C871+C872</f>
        <v>1900000</v>
      </c>
      <c r="D869" s="86">
        <f t="shared" si="34"/>
        <v>1995000</v>
      </c>
      <c r="E869" s="86">
        <f>D869*1.05</f>
        <v>2094750</v>
      </c>
    </row>
    <row r="870" spans="1:5" ht="31.25" x14ac:dyDescent="0.3">
      <c r="A870" s="83" t="s">
        <v>138</v>
      </c>
      <c r="B870" s="83" t="s">
        <v>228</v>
      </c>
      <c r="C870" s="403">
        <v>800000</v>
      </c>
      <c r="D870" s="82">
        <f t="shared" si="34"/>
        <v>840000</v>
      </c>
      <c r="E870" s="82">
        <f t="shared" si="34"/>
        <v>882000</v>
      </c>
    </row>
    <row r="871" spans="1:5" ht="15.65" x14ac:dyDescent="0.3">
      <c r="A871" s="83" t="s">
        <v>229</v>
      </c>
      <c r="B871" s="83" t="s">
        <v>58</v>
      </c>
      <c r="C871" s="403">
        <v>400000</v>
      </c>
      <c r="D871" s="82">
        <f t="shared" si="34"/>
        <v>420000</v>
      </c>
      <c r="E871" s="82">
        <f t="shared" si="34"/>
        <v>441000</v>
      </c>
    </row>
    <row r="872" spans="1:5" ht="15.65" x14ac:dyDescent="0.3">
      <c r="A872" s="83" t="s">
        <v>140</v>
      </c>
      <c r="B872" s="83" t="s">
        <v>230</v>
      </c>
      <c r="C872" s="403">
        <v>700000</v>
      </c>
      <c r="D872" s="82">
        <f t="shared" si="34"/>
        <v>735000</v>
      </c>
      <c r="E872" s="82">
        <f t="shared" si="34"/>
        <v>771750</v>
      </c>
    </row>
    <row r="873" spans="1:5" ht="15.65" x14ac:dyDescent="0.3">
      <c r="A873" s="80" t="s">
        <v>231</v>
      </c>
      <c r="B873" s="80" t="s">
        <v>60</v>
      </c>
      <c r="C873" s="88">
        <f>C874+C875</f>
        <v>2550000</v>
      </c>
      <c r="D873" s="82">
        <f t="shared" si="34"/>
        <v>2677500</v>
      </c>
      <c r="E873" s="82">
        <f t="shared" si="34"/>
        <v>2811375</v>
      </c>
    </row>
    <row r="874" spans="1:5" ht="15.65" x14ac:dyDescent="0.3">
      <c r="A874" s="83" t="s">
        <v>142</v>
      </c>
      <c r="B874" s="83" t="s">
        <v>143</v>
      </c>
      <c r="C874" s="404">
        <v>2400000</v>
      </c>
      <c r="D874" s="86">
        <f t="shared" si="34"/>
        <v>2520000</v>
      </c>
      <c r="E874" s="86">
        <f t="shared" si="34"/>
        <v>2646000</v>
      </c>
    </row>
    <row r="875" spans="1:5" x14ac:dyDescent="0.35">
      <c r="A875" s="83" t="s">
        <v>232</v>
      </c>
      <c r="B875" s="83" t="s">
        <v>264</v>
      </c>
      <c r="C875" s="403">
        <v>150000</v>
      </c>
      <c r="D875" s="82">
        <f t="shared" si="34"/>
        <v>157500</v>
      </c>
      <c r="E875" s="82">
        <f t="shared" si="34"/>
        <v>165375</v>
      </c>
    </row>
    <row r="876" spans="1:5" ht="15.65" x14ac:dyDescent="0.3">
      <c r="A876" s="80" t="s">
        <v>234</v>
      </c>
      <c r="B876" s="80" t="s">
        <v>62</v>
      </c>
      <c r="C876" s="85">
        <f>C877+C878+C879+C880+C881</f>
        <v>1350000</v>
      </c>
      <c r="D876" s="86">
        <f t="shared" si="34"/>
        <v>1417500</v>
      </c>
      <c r="E876" s="86">
        <f t="shared" si="34"/>
        <v>1488375</v>
      </c>
    </row>
    <row r="877" spans="1:5" ht="15.65" x14ac:dyDescent="0.3">
      <c r="A877" s="83" t="s">
        <v>265</v>
      </c>
      <c r="B877" s="83" t="s">
        <v>266</v>
      </c>
      <c r="C877" s="403">
        <v>50000</v>
      </c>
      <c r="D877" s="82">
        <f t="shared" ref="D877:E892" si="35">C877*1.05</f>
        <v>52500</v>
      </c>
      <c r="E877" s="82">
        <f t="shared" si="35"/>
        <v>55125</v>
      </c>
    </row>
    <row r="878" spans="1:5" ht="15.65" x14ac:dyDescent="0.3">
      <c r="A878" s="83" t="s">
        <v>235</v>
      </c>
      <c r="B878" s="83" t="s">
        <v>267</v>
      </c>
      <c r="C878" s="403">
        <v>1100000</v>
      </c>
      <c r="D878" s="82">
        <f t="shared" si="35"/>
        <v>1155000</v>
      </c>
      <c r="E878" s="82">
        <f t="shared" si="35"/>
        <v>1212750</v>
      </c>
    </row>
    <row r="879" spans="1:5" ht="15.65" x14ac:dyDescent="0.3">
      <c r="A879" s="83" t="s">
        <v>144</v>
      </c>
      <c r="B879" s="83" t="s">
        <v>64</v>
      </c>
      <c r="C879" s="403">
        <v>0</v>
      </c>
      <c r="D879" s="82">
        <f t="shared" si="35"/>
        <v>0</v>
      </c>
      <c r="E879" s="82">
        <f t="shared" si="35"/>
        <v>0</v>
      </c>
    </row>
    <row r="880" spans="1:5" ht="31.25" x14ac:dyDescent="0.3">
      <c r="A880" s="83" t="s">
        <v>145</v>
      </c>
      <c r="B880" s="83" t="s">
        <v>65</v>
      </c>
      <c r="C880" s="403">
        <v>200000</v>
      </c>
      <c r="D880" s="82">
        <f t="shared" si="35"/>
        <v>210000</v>
      </c>
      <c r="E880" s="82">
        <f t="shared" si="35"/>
        <v>220500</v>
      </c>
    </row>
    <row r="881" spans="1:5" ht="15.65" x14ac:dyDescent="0.3">
      <c r="A881" s="83" t="s">
        <v>286</v>
      </c>
      <c r="B881" s="83" t="s">
        <v>69</v>
      </c>
      <c r="C881" s="88">
        <v>0</v>
      </c>
      <c r="D881" s="82">
        <f t="shared" si="35"/>
        <v>0</v>
      </c>
      <c r="E881" s="82">
        <f t="shared" si="35"/>
        <v>0</v>
      </c>
    </row>
    <row r="882" spans="1:5" ht="31.25" x14ac:dyDescent="0.3">
      <c r="A882" s="80" t="s">
        <v>237</v>
      </c>
      <c r="B882" s="80" t="s">
        <v>71</v>
      </c>
      <c r="C882" s="91">
        <f>C883</f>
        <v>550000</v>
      </c>
      <c r="D882" s="86">
        <f t="shared" si="35"/>
        <v>577500</v>
      </c>
      <c r="E882" s="86">
        <f t="shared" si="35"/>
        <v>606375</v>
      </c>
    </row>
    <row r="883" spans="1:5" ht="15.65" x14ac:dyDescent="0.3">
      <c r="A883" s="83" t="s">
        <v>148</v>
      </c>
      <c r="B883" s="83" t="s">
        <v>72</v>
      </c>
      <c r="C883" s="403">
        <v>550000</v>
      </c>
      <c r="D883" s="82">
        <f t="shared" si="35"/>
        <v>577500</v>
      </c>
      <c r="E883" s="82">
        <f t="shared" si="35"/>
        <v>606375</v>
      </c>
    </row>
    <row r="884" spans="1:5" ht="15.65" x14ac:dyDescent="0.3">
      <c r="A884" s="80" t="s">
        <v>238</v>
      </c>
      <c r="B884" s="80" t="s">
        <v>73</v>
      </c>
      <c r="C884" s="85">
        <f>C885+C886+C887+C888+C889</f>
        <v>3601000</v>
      </c>
      <c r="D884" s="86">
        <f t="shared" si="35"/>
        <v>3781050</v>
      </c>
      <c r="E884" s="86">
        <f t="shared" si="35"/>
        <v>3970102.5</v>
      </c>
    </row>
    <row r="885" spans="1:5" ht="31.25" x14ac:dyDescent="0.3">
      <c r="A885" s="83" t="s">
        <v>269</v>
      </c>
      <c r="B885" s="83" t="s">
        <v>74</v>
      </c>
      <c r="C885" s="403">
        <v>601000</v>
      </c>
      <c r="D885" s="82">
        <f t="shared" si="35"/>
        <v>631050</v>
      </c>
      <c r="E885" s="82">
        <f t="shared" si="35"/>
        <v>662602.5</v>
      </c>
    </row>
    <row r="886" spans="1:5" ht="15.65" x14ac:dyDescent="0.3">
      <c r="A886" s="83" t="s">
        <v>270</v>
      </c>
      <c r="B886" s="83" t="s">
        <v>75</v>
      </c>
      <c r="C886" s="403">
        <v>200000</v>
      </c>
      <c r="D886" s="82">
        <f t="shared" si="35"/>
        <v>210000</v>
      </c>
      <c r="E886" s="82">
        <f t="shared" si="35"/>
        <v>220500</v>
      </c>
    </row>
    <row r="887" spans="1:5" ht="15.65" x14ac:dyDescent="0.3">
      <c r="A887" s="83" t="s">
        <v>239</v>
      </c>
      <c r="B887" s="83" t="s">
        <v>240</v>
      </c>
      <c r="C887" s="403">
        <v>1100000</v>
      </c>
      <c r="D887" s="82">
        <f t="shared" si="35"/>
        <v>1155000</v>
      </c>
      <c r="E887" s="82">
        <f t="shared" si="35"/>
        <v>1212750</v>
      </c>
    </row>
    <row r="888" spans="1:5" ht="15.65" x14ac:dyDescent="0.3">
      <c r="A888" s="83" t="s">
        <v>241</v>
      </c>
      <c r="B888" s="83" t="s">
        <v>76</v>
      </c>
      <c r="C888" s="403">
        <v>1600000</v>
      </c>
      <c r="D888" s="82">
        <f t="shared" si="35"/>
        <v>1680000</v>
      </c>
      <c r="E888" s="82">
        <f t="shared" si="35"/>
        <v>1764000</v>
      </c>
    </row>
    <row r="889" spans="1:5" ht="15.65" x14ac:dyDescent="0.3">
      <c r="A889" s="83" t="s">
        <v>242</v>
      </c>
      <c r="B889" s="83" t="s">
        <v>77</v>
      </c>
      <c r="C889" s="403">
        <v>100000</v>
      </c>
      <c r="D889" s="82">
        <f t="shared" si="35"/>
        <v>105000</v>
      </c>
      <c r="E889" s="82">
        <f t="shared" si="35"/>
        <v>110250</v>
      </c>
    </row>
    <row r="890" spans="1:5" ht="15.65" x14ac:dyDescent="0.3">
      <c r="A890" s="83"/>
      <c r="B890" s="83"/>
      <c r="C890" s="12"/>
      <c r="D890" s="82">
        <f t="shared" si="35"/>
        <v>0</v>
      </c>
      <c r="E890" s="82"/>
    </row>
    <row r="891" spans="1:5" ht="15.65" x14ac:dyDescent="0.3">
      <c r="A891" s="80">
        <v>3110900</v>
      </c>
      <c r="B891" s="80" t="s">
        <v>271</v>
      </c>
      <c r="C891" s="85">
        <f>C892</f>
        <v>400000</v>
      </c>
      <c r="D891" s="86">
        <f t="shared" si="35"/>
        <v>420000</v>
      </c>
      <c r="E891" s="86">
        <f t="shared" si="35"/>
        <v>441000</v>
      </c>
    </row>
    <row r="892" spans="1:5" ht="15.65" x14ac:dyDescent="0.3">
      <c r="A892" s="83" t="s">
        <v>272</v>
      </c>
      <c r="B892" s="83" t="s">
        <v>273</v>
      </c>
      <c r="C892" s="403">
        <v>400000</v>
      </c>
      <c r="D892" s="82">
        <f t="shared" si="35"/>
        <v>420000</v>
      </c>
      <c r="E892" s="82">
        <f t="shared" si="35"/>
        <v>441000</v>
      </c>
    </row>
    <row r="893" spans="1:5" ht="15.65" x14ac:dyDescent="0.3">
      <c r="A893" s="80" t="s">
        <v>274</v>
      </c>
      <c r="B893" s="80" t="s">
        <v>82</v>
      </c>
      <c r="C893" s="91">
        <f>C894+C895</f>
        <v>700000</v>
      </c>
      <c r="D893" s="86">
        <f t="shared" ref="D893:E903" si="36">C893*1.05</f>
        <v>735000</v>
      </c>
      <c r="E893" s="86">
        <f t="shared" si="36"/>
        <v>771750</v>
      </c>
    </row>
    <row r="894" spans="1:5" ht="15.65" x14ac:dyDescent="0.3">
      <c r="A894" s="83" t="s">
        <v>153</v>
      </c>
      <c r="B894" s="83" t="s">
        <v>83</v>
      </c>
      <c r="C894" s="403">
        <v>300000</v>
      </c>
      <c r="D894" s="82">
        <f t="shared" si="36"/>
        <v>315000</v>
      </c>
      <c r="E894" s="82">
        <f t="shared" si="36"/>
        <v>330750</v>
      </c>
    </row>
    <row r="895" spans="1:5" ht="15.65" x14ac:dyDescent="0.3">
      <c r="A895" s="83" t="s">
        <v>275</v>
      </c>
      <c r="B895" s="83" t="s">
        <v>84</v>
      </c>
      <c r="C895" s="403">
        <v>400000</v>
      </c>
      <c r="D895" s="82">
        <f t="shared" si="36"/>
        <v>420000</v>
      </c>
      <c r="E895" s="93">
        <f t="shared" si="36"/>
        <v>441000</v>
      </c>
    </row>
    <row r="896" spans="1:5" ht="15.65" x14ac:dyDescent="0.3">
      <c r="A896" s="83" t="s">
        <v>276</v>
      </c>
      <c r="B896" s="12" t="s">
        <v>750</v>
      </c>
      <c r="C896" s="403">
        <v>0</v>
      </c>
      <c r="D896" s="82">
        <f t="shared" si="36"/>
        <v>0</v>
      </c>
      <c r="E896" s="82">
        <f t="shared" si="36"/>
        <v>0</v>
      </c>
    </row>
    <row r="897" spans="1:5" ht="15.65" x14ac:dyDescent="0.3">
      <c r="A897" s="12">
        <v>3110701</v>
      </c>
      <c r="B897" s="83" t="s">
        <v>277</v>
      </c>
      <c r="C897" s="87">
        <v>0</v>
      </c>
      <c r="D897" s="82">
        <f t="shared" si="36"/>
        <v>0</v>
      </c>
      <c r="E897" s="93">
        <f t="shared" si="36"/>
        <v>0</v>
      </c>
    </row>
    <row r="898" spans="1:5" ht="15.65" x14ac:dyDescent="0.3">
      <c r="A898" s="80" t="s">
        <v>278</v>
      </c>
      <c r="B898" s="80" t="s">
        <v>279</v>
      </c>
      <c r="C898" s="405">
        <f>C899+C900</f>
        <v>1360000</v>
      </c>
      <c r="D898" s="406">
        <f t="shared" si="36"/>
        <v>1428000</v>
      </c>
      <c r="E898" s="406">
        <f t="shared" si="36"/>
        <v>1499400</v>
      </c>
    </row>
    <row r="899" spans="1:5" ht="15.65" x14ac:dyDescent="0.3">
      <c r="A899" s="83" t="s">
        <v>280</v>
      </c>
      <c r="B899" s="83" t="s">
        <v>281</v>
      </c>
      <c r="C899" s="403">
        <v>150000</v>
      </c>
      <c r="D899" s="82">
        <f t="shared" si="36"/>
        <v>157500</v>
      </c>
      <c r="E899" s="82">
        <f t="shared" si="36"/>
        <v>165375</v>
      </c>
    </row>
    <row r="900" spans="1:5" ht="15.65" x14ac:dyDescent="0.3">
      <c r="A900" s="83">
        <v>3111101</v>
      </c>
      <c r="B900" s="83" t="s">
        <v>914</v>
      </c>
      <c r="C900" s="403">
        <v>1210000</v>
      </c>
      <c r="D900" s="82">
        <f t="shared" si="36"/>
        <v>1270500</v>
      </c>
      <c r="E900" s="82"/>
    </row>
    <row r="901" spans="1:5" ht="31.25" x14ac:dyDescent="0.3">
      <c r="A901" s="83" t="s">
        <v>282</v>
      </c>
      <c r="B901" s="83" t="s">
        <v>283</v>
      </c>
      <c r="C901" s="403">
        <v>0</v>
      </c>
      <c r="D901" s="82">
        <f t="shared" si="36"/>
        <v>0</v>
      </c>
      <c r="E901" s="82">
        <f t="shared" si="36"/>
        <v>0</v>
      </c>
    </row>
    <row r="902" spans="1:5" ht="15.65" x14ac:dyDescent="0.3">
      <c r="A902" s="83">
        <v>3111403</v>
      </c>
      <c r="B902" s="83" t="s">
        <v>284</v>
      </c>
      <c r="C902" s="12"/>
      <c r="D902" s="82">
        <f t="shared" si="36"/>
        <v>0</v>
      </c>
      <c r="E902" s="82">
        <f t="shared" si="36"/>
        <v>0</v>
      </c>
    </row>
    <row r="903" spans="1:5" ht="31.25" x14ac:dyDescent="0.3">
      <c r="A903" s="83"/>
      <c r="B903" s="80" t="s">
        <v>915</v>
      </c>
      <c r="C903" s="78">
        <f>C828+C831+C835+C843+C848+C850+C853+C858+C869+C873+C876+C882+C884+C891+C893+C898</f>
        <v>39972313</v>
      </c>
      <c r="D903" s="86">
        <f t="shared" si="36"/>
        <v>41970928.649999999</v>
      </c>
      <c r="E903" s="86">
        <f t="shared" si="36"/>
        <v>44069475.082500003</v>
      </c>
    </row>
    <row r="904" spans="1:5" ht="15.65" x14ac:dyDescent="0.3">
      <c r="A904" s="83"/>
      <c r="B904" s="80"/>
      <c r="C904" s="407"/>
      <c r="D904" s="408"/>
      <c r="E904" s="408"/>
    </row>
    <row r="905" spans="1:5" ht="15.65" x14ac:dyDescent="0.3">
      <c r="A905" s="83"/>
      <c r="B905" s="80" t="s">
        <v>897</v>
      </c>
      <c r="C905" s="78"/>
      <c r="D905" s="86"/>
      <c r="E905" s="86"/>
    </row>
    <row r="906" spans="1:5" ht="15.65" x14ac:dyDescent="0.3">
      <c r="A906" s="76">
        <v>3110504</v>
      </c>
      <c r="B906" s="147" t="s">
        <v>583</v>
      </c>
      <c r="C906" s="337">
        <v>0</v>
      </c>
      <c r="D906" s="337">
        <v>0</v>
      </c>
      <c r="E906" s="337">
        <v>0</v>
      </c>
    </row>
    <row r="907" spans="1:5" ht="15.65" x14ac:dyDescent="0.3">
      <c r="A907" s="347" t="s">
        <v>272</v>
      </c>
      <c r="B907" s="357" t="s">
        <v>273</v>
      </c>
      <c r="C907" s="337">
        <v>0</v>
      </c>
      <c r="D907" s="337">
        <v>0</v>
      </c>
      <c r="E907" s="337">
        <v>0</v>
      </c>
    </row>
    <row r="908" spans="1:5" ht="15.65" x14ac:dyDescent="0.3">
      <c r="A908" s="76">
        <v>2410104</v>
      </c>
      <c r="B908" s="147" t="s">
        <v>751</v>
      </c>
      <c r="C908" s="337">
        <v>0</v>
      </c>
      <c r="D908" s="337">
        <v>0</v>
      </c>
      <c r="E908" s="337">
        <v>0</v>
      </c>
    </row>
    <row r="909" spans="1:5" ht="15.65" x14ac:dyDescent="0.3">
      <c r="A909" s="339">
        <v>2410104</v>
      </c>
      <c r="B909" s="339" t="s">
        <v>245</v>
      </c>
      <c r="C909" s="337">
        <v>0</v>
      </c>
      <c r="D909" s="337">
        <v>0</v>
      </c>
      <c r="E909" s="337">
        <v>0</v>
      </c>
    </row>
    <row r="910" spans="1:5" ht="31.25" x14ac:dyDescent="0.3">
      <c r="A910" s="148"/>
      <c r="B910" s="380" t="s">
        <v>916</v>
      </c>
      <c r="C910" s="337">
        <v>0</v>
      </c>
      <c r="D910" s="337">
        <v>0</v>
      </c>
      <c r="E910" s="337">
        <v>0</v>
      </c>
    </row>
    <row r="911" spans="1:5" ht="46.75" x14ac:dyDescent="0.3">
      <c r="A911" s="148"/>
      <c r="B911" s="80" t="s">
        <v>917</v>
      </c>
      <c r="C911" s="337">
        <f>C903+C910</f>
        <v>39972313</v>
      </c>
      <c r="D911" s="337">
        <f t="shared" ref="D911:E911" si="37">D903+D910</f>
        <v>41970928.649999999</v>
      </c>
      <c r="E911" s="337">
        <f t="shared" si="37"/>
        <v>44069475.082500003</v>
      </c>
    </row>
    <row r="912" spans="1:5" ht="31.25" x14ac:dyDescent="0.3">
      <c r="A912" s="78"/>
      <c r="B912" s="78" t="s">
        <v>300</v>
      </c>
      <c r="C912" s="79" t="s">
        <v>184</v>
      </c>
      <c r="D912" s="79" t="s">
        <v>746</v>
      </c>
      <c r="E912" s="79" t="s">
        <v>791</v>
      </c>
    </row>
    <row r="913" spans="1:5" ht="15.65" x14ac:dyDescent="0.3">
      <c r="A913" s="78"/>
      <c r="B913" s="78" t="s">
        <v>902</v>
      </c>
      <c r="C913" s="79"/>
      <c r="D913" s="79"/>
      <c r="E913" s="79"/>
    </row>
    <row r="914" spans="1:5" ht="15.65" x14ac:dyDescent="0.3">
      <c r="A914" s="80" t="s">
        <v>185</v>
      </c>
      <c r="B914" s="80" t="s">
        <v>186</v>
      </c>
      <c r="C914" s="81">
        <f>C915</f>
        <v>0</v>
      </c>
      <c r="D914" s="82"/>
      <c r="E914" s="82"/>
    </row>
    <row r="915" spans="1:5" ht="15.65" x14ac:dyDescent="0.3">
      <c r="A915" s="83" t="s">
        <v>98</v>
      </c>
      <c r="B915" s="83" t="s">
        <v>99</v>
      </c>
      <c r="C915" s="81">
        <v>0</v>
      </c>
      <c r="D915" s="82"/>
      <c r="E915" s="82"/>
    </row>
    <row r="916" spans="1:5" ht="15.65" x14ac:dyDescent="0.3">
      <c r="A916" s="80" t="s">
        <v>3</v>
      </c>
      <c r="B916" s="80" t="s">
        <v>4</v>
      </c>
      <c r="C916" s="78">
        <f>C917</f>
        <v>0</v>
      </c>
      <c r="D916" s="82"/>
      <c r="E916" s="82"/>
    </row>
    <row r="917" spans="1:5" ht="15.65" x14ac:dyDescent="0.3">
      <c r="A917" s="83" t="s">
        <v>5</v>
      </c>
      <c r="B917" s="83" t="s">
        <v>6</v>
      </c>
      <c r="C917" s="81">
        <v>0</v>
      </c>
      <c r="D917" s="82"/>
      <c r="E917" s="82"/>
    </row>
    <row r="918" spans="1:5" ht="15.65" x14ac:dyDescent="0.3">
      <c r="A918" s="80" t="s">
        <v>289</v>
      </c>
      <c r="B918" s="80" t="s">
        <v>290</v>
      </c>
      <c r="C918" s="81">
        <f>C919+C920</f>
        <v>0</v>
      </c>
      <c r="D918" s="82"/>
      <c r="E918" s="82"/>
    </row>
    <row r="919" spans="1:5" ht="15.65" x14ac:dyDescent="0.3">
      <c r="A919" s="83" t="s">
        <v>291</v>
      </c>
      <c r="B919" s="83" t="s">
        <v>10</v>
      </c>
      <c r="C919" s="81">
        <v>0</v>
      </c>
      <c r="D919" s="82"/>
      <c r="E919" s="82"/>
    </row>
    <row r="920" spans="1:5" ht="15.65" x14ac:dyDescent="0.3">
      <c r="A920" s="83" t="s">
        <v>292</v>
      </c>
      <c r="B920" s="83" t="s">
        <v>293</v>
      </c>
      <c r="C920" s="81">
        <v>0</v>
      </c>
      <c r="D920" s="82"/>
      <c r="E920" s="82"/>
    </row>
    <row r="921" spans="1:5" ht="15.65" x14ac:dyDescent="0.3">
      <c r="A921" s="80" t="s">
        <v>294</v>
      </c>
      <c r="B921" s="80" t="s">
        <v>295</v>
      </c>
      <c r="C921" s="81">
        <v>0</v>
      </c>
      <c r="D921" s="82"/>
      <c r="E921" s="82"/>
    </row>
    <row r="922" spans="1:5" ht="15.65" x14ac:dyDescent="0.3">
      <c r="A922" s="80">
        <v>2410104</v>
      </c>
      <c r="B922" s="84" t="s">
        <v>268</v>
      </c>
      <c r="C922" s="78">
        <v>0</v>
      </c>
      <c r="D922" s="82"/>
      <c r="E922" s="82"/>
    </row>
    <row r="923" spans="1:5" ht="15.65" x14ac:dyDescent="0.3">
      <c r="A923" s="80" t="s">
        <v>192</v>
      </c>
      <c r="B923" s="80" t="s">
        <v>23</v>
      </c>
      <c r="C923" s="85">
        <f>C924+C925</f>
        <v>860849</v>
      </c>
      <c r="D923" s="86">
        <f t="shared" ref="D923:E988" si="38">C923*1.05</f>
        <v>903891.45000000007</v>
      </c>
      <c r="E923" s="86">
        <f t="shared" si="38"/>
        <v>949086.02250000008</v>
      </c>
    </row>
    <row r="924" spans="1:5" ht="15.65" x14ac:dyDescent="0.3">
      <c r="A924" s="83" t="s">
        <v>101</v>
      </c>
      <c r="B924" s="83" t="s">
        <v>102</v>
      </c>
      <c r="C924" s="409">
        <v>660000</v>
      </c>
      <c r="D924" s="82">
        <f t="shared" si="38"/>
        <v>693000</v>
      </c>
      <c r="E924" s="82">
        <f t="shared" si="38"/>
        <v>727650</v>
      </c>
    </row>
    <row r="925" spans="1:5" ht="15.65" x14ac:dyDescent="0.3">
      <c r="A925" s="83" t="s">
        <v>103</v>
      </c>
      <c r="B925" s="83" t="s">
        <v>104</v>
      </c>
      <c r="C925" s="409">
        <v>200849</v>
      </c>
      <c r="D925" s="82">
        <f t="shared" si="38"/>
        <v>210891.45</v>
      </c>
      <c r="E925" s="82">
        <f t="shared" si="38"/>
        <v>221436.02250000002</v>
      </c>
    </row>
    <row r="926" spans="1:5" ht="15.65" x14ac:dyDescent="0.3">
      <c r="A926" s="80" t="s">
        <v>193</v>
      </c>
      <c r="B926" s="80" t="s">
        <v>194</v>
      </c>
      <c r="C926" s="85">
        <f>C927+C928+C929</f>
        <v>338142</v>
      </c>
      <c r="D926" s="86">
        <f t="shared" si="38"/>
        <v>355049.10000000003</v>
      </c>
      <c r="E926" s="86">
        <f t="shared" si="38"/>
        <v>372801.55500000005</v>
      </c>
    </row>
    <row r="927" spans="1:5" ht="15.65" x14ac:dyDescent="0.3">
      <c r="A927" s="83">
        <v>2210201</v>
      </c>
      <c r="B927" s="83" t="s">
        <v>106</v>
      </c>
      <c r="C927" s="409">
        <v>97758</v>
      </c>
      <c r="D927" s="82">
        <f t="shared" si="38"/>
        <v>102645.90000000001</v>
      </c>
      <c r="E927" s="82">
        <f t="shared" si="38"/>
        <v>107778.19500000001</v>
      </c>
    </row>
    <row r="928" spans="1:5" ht="15.65" x14ac:dyDescent="0.3">
      <c r="A928" s="83" t="s">
        <v>107</v>
      </c>
      <c r="B928" s="83" t="s">
        <v>108</v>
      </c>
      <c r="C928" s="409">
        <v>220384</v>
      </c>
      <c r="D928" s="82">
        <f t="shared" si="38"/>
        <v>231403.2</v>
      </c>
      <c r="E928" s="82">
        <f t="shared" si="38"/>
        <v>242973.36000000002</v>
      </c>
    </row>
    <row r="929" spans="1:5" ht="15.65" x14ac:dyDescent="0.3">
      <c r="A929" s="83" t="s">
        <v>109</v>
      </c>
      <c r="B929" s="83" t="s">
        <v>29</v>
      </c>
      <c r="C929" s="409">
        <v>20000</v>
      </c>
      <c r="D929" s="82">
        <f t="shared" si="38"/>
        <v>21000</v>
      </c>
      <c r="E929" s="82">
        <f t="shared" si="38"/>
        <v>22050</v>
      </c>
    </row>
    <row r="930" spans="1:5" ht="31.25" x14ac:dyDescent="0.3">
      <c r="A930" s="80" t="s">
        <v>195</v>
      </c>
      <c r="B930" s="80" t="s">
        <v>30</v>
      </c>
      <c r="C930" s="85">
        <f>C931+C932+C933</f>
        <v>441350</v>
      </c>
      <c r="D930" s="366">
        <f t="shared" si="38"/>
        <v>463417.5</v>
      </c>
      <c r="E930" s="366">
        <f t="shared" si="38"/>
        <v>486588.375</v>
      </c>
    </row>
    <row r="931" spans="1:5" ht="31.25" x14ac:dyDescent="0.3">
      <c r="A931" s="83" t="s">
        <v>110</v>
      </c>
      <c r="B931" s="83" t="s">
        <v>111</v>
      </c>
      <c r="C931" s="394">
        <v>0</v>
      </c>
      <c r="D931" s="82">
        <f t="shared" si="38"/>
        <v>0</v>
      </c>
      <c r="E931" s="82">
        <f t="shared" si="38"/>
        <v>0</v>
      </c>
    </row>
    <row r="932" spans="1:5" ht="15.65" x14ac:dyDescent="0.3">
      <c r="A932" s="83" t="s">
        <v>112</v>
      </c>
      <c r="B932" s="83" t="s">
        <v>113</v>
      </c>
      <c r="C932" s="409">
        <v>100500</v>
      </c>
      <c r="D932" s="82">
        <f t="shared" si="38"/>
        <v>105525</v>
      </c>
      <c r="E932" s="82">
        <f t="shared" si="38"/>
        <v>110801.25</v>
      </c>
    </row>
    <row r="933" spans="1:5" ht="15.65" x14ac:dyDescent="0.3">
      <c r="A933" s="83" t="s">
        <v>114</v>
      </c>
      <c r="B933" s="83" t="s">
        <v>115</v>
      </c>
      <c r="C933" s="409">
        <v>340850</v>
      </c>
      <c r="D933" s="82">
        <f t="shared" si="38"/>
        <v>357892.5</v>
      </c>
      <c r="E933" s="82">
        <f t="shared" si="38"/>
        <v>375787.125</v>
      </c>
    </row>
    <row r="934" spans="1:5" ht="31.25" x14ac:dyDescent="0.3">
      <c r="A934" s="80" t="s">
        <v>117</v>
      </c>
      <c r="B934" s="80" t="s">
        <v>118</v>
      </c>
      <c r="C934" s="85">
        <v>0</v>
      </c>
      <c r="D934" s="82">
        <f t="shared" si="38"/>
        <v>0</v>
      </c>
      <c r="E934" s="82">
        <f t="shared" si="38"/>
        <v>0</v>
      </c>
    </row>
    <row r="935" spans="1:5" ht="15.65" x14ac:dyDescent="0.3">
      <c r="A935" s="83" t="s">
        <v>119</v>
      </c>
      <c r="B935" s="83" t="s">
        <v>120</v>
      </c>
      <c r="C935" s="88">
        <v>0</v>
      </c>
      <c r="D935" s="82">
        <f t="shared" si="38"/>
        <v>0</v>
      </c>
      <c r="E935" s="82">
        <f t="shared" si="38"/>
        <v>0</v>
      </c>
    </row>
    <row r="936" spans="1:5" ht="15.65" x14ac:dyDescent="0.3">
      <c r="A936" s="83" t="s">
        <v>197</v>
      </c>
      <c r="B936" s="83" t="s">
        <v>198</v>
      </c>
      <c r="C936" s="88">
        <v>0</v>
      </c>
      <c r="D936" s="82">
        <f t="shared" si="38"/>
        <v>0</v>
      </c>
      <c r="E936" s="82">
        <f t="shared" si="38"/>
        <v>0</v>
      </c>
    </row>
    <row r="937" spans="1:5" ht="15.65" x14ac:dyDescent="0.3">
      <c r="A937" s="83" t="s">
        <v>121</v>
      </c>
      <c r="B937" s="83" t="s">
        <v>115</v>
      </c>
      <c r="C937" s="88">
        <v>0</v>
      </c>
      <c r="D937" s="82">
        <f t="shared" si="38"/>
        <v>0</v>
      </c>
      <c r="E937" s="82">
        <f t="shared" si="38"/>
        <v>0</v>
      </c>
    </row>
    <row r="938" spans="1:5" ht="31.25" x14ac:dyDescent="0.3">
      <c r="A938" s="80" t="s">
        <v>199</v>
      </c>
      <c r="B938" s="80" t="s">
        <v>38</v>
      </c>
      <c r="C938" s="85">
        <f>C939+C940+C941</f>
        <v>122680</v>
      </c>
      <c r="D938" s="82">
        <f t="shared" si="38"/>
        <v>128814</v>
      </c>
      <c r="E938" s="82">
        <f t="shared" si="38"/>
        <v>135254.70000000001</v>
      </c>
    </row>
    <row r="939" spans="1:5" ht="15.65" x14ac:dyDescent="0.3">
      <c r="A939" s="83" t="s">
        <v>200</v>
      </c>
      <c r="B939" s="83" t="s">
        <v>201</v>
      </c>
      <c r="C939" s="409">
        <v>35000</v>
      </c>
      <c r="D939" s="82">
        <f t="shared" si="38"/>
        <v>36750</v>
      </c>
      <c r="E939" s="82">
        <f t="shared" si="38"/>
        <v>38587.5</v>
      </c>
    </row>
    <row r="940" spans="1:5" ht="15.65" x14ac:dyDescent="0.3">
      <c r="A940" s="83" t="s">
        <v>122</v>
      </c>
      <c r="B940" s="83" t="s">
        <v>123</v>
      </c>
      <c r="C940" s="409">
        <v>7680</v>
      </c>
      <c r="D940" s="82">
        <f t="shared" si="38"/>
        <v>8064</v>
      </c>
      <c r="E940" s="82">
        <f t="shared" si="38"/>
        <v>8467.2000000000007</v>
      </c>
    </row>
    <row r="941" spans="1:5" ht="15.65" x14ac:dyDescent="0.3">
      <c r="A941" s="83" t="s">
        <v>124</v>
      </c>
      <c r="B941" s="83" t="s">
        <v>125</v>
      </c>
      <c r="C941" s="409">
        <v>80000</v>
      </c>
      <c r="D941" s="82">
        <f t="shared" si="38"/>
        <v>84000</v>
      </c>
      <c r="E941" s="82">
        <f t="shared" si="38"/>
        <v>88200</v>
      </c>
    </row>
    <row r="942" spans="1:5" ht="15.65" x14ac:dyDescent="0.3">
      <c r="A942" s="83" t="s">
        <v>202</v>
      </c>
      <c r="B942" s="83" t="s">
        <v>41</v>
      </c>
      <c r="C942" s="82"/>
      <c r="D942" s="82">
        <f t="shared" si="38"/>
        <v>0</v>
      </c>
      <c r="E942" s="82">
        <f t="shared" si="38"/>
        <v>0</v>
      </c>
    </row>
    <row r="943" spans="1:5" ht="15.65" x14ac:dyDescent="0.3">
      <c r="A943" s="80" t="s">
        <v>259</v>
      </c>
      <c r="B943" s="80" t="s">
        <v>42</v>
      </c>
      <c r="C943" s="88">
        <f>C944</f>
        <v>0</v>
      </c>
      <c r="D943" s="82">
        <f t="shared" si="38"/>
        <v>0</v>
      </c>
      <c r="E943" s="82">
        <f t="shared" si="38"/>
        <v>0</v>
      </c>
    </row>
    <row r="944" spans="1:5" ht="15.65" x14ac:dyDescent="0.3">
      <c r="A944" s="83" t="s">
        <v>260</v>
      </c>
      <c r="B944" s="83" t="s">
        <v>43</v>
      </c>
      <c r="C944" s="88">
        <v>0</v>
      </c>
      <c r="D944" s="82">
        <f t="shared" si="38"/>
        <v>0</v>
      </c>
      <c r="E944" s="82">
        <f t="shared" si="38"/>
        <v>0</v>
      </c>
    </row>
    <row r="945" spans="1:5" ht="15.65" x14ac:dyDescent="0.3">
      <c r="A945" s="80" t="s">
        <v>203</v>
      </c>
      <c r="B945" s="80" t="s">
        <v>45</v>
      </c>
      <c r="C945" s="85">
        <f>C946+C947</f>
        <v>0</v>
      </c>
      <c r="D945" s="82">
        <f t="shared" si="38"/>
        <v>0</v>
      </c>
      <c r="E945" s="82">
        <f t="shared" si="38"/>
        <v>0</v>
      </c>
    </row>
    <row r="946" spans="1:5" ht="15.65" x14ac:dyDescent="0.3">
      <c r="A946" s="83" t="s">
        <v>127</v>
      </c>
      <c r="B946" s="83" t="s">
        <v>128</v>
      </c>
      <c r="C946" s="88"/>
      <c r="D946" s="82">
        <f t="shared" si="38"/>
        <v>0</v>
      </c>
      <c r="E946" s="82">
        <f t="shared" si="38"/>
        <v>0</v>
      </c>
    </row>
    <row r="947" spans="1:5" ht="15.65" x14ac:dyDescent="0.3">
      <c r="A947" s="83" t="s">
        <v>129</v>
      </c>
      <c r="B947" s="83" t="s">
        <v>130</v>
      </c>
      <c r="C947" s="88"/>
      <c r="D947" s="82">
        <f t="shared" si="38"/>
        <v>0</v>
      </c>
      <c r="E947" s="82">
        <f t="shared" si="38"/>
        <v>0</v>
      </c>
    </row>
    <row r="948" spans="1:5" ht="15.65" x14ac:dyDescent="0.3">
      <c r="A948" s="80" t="s">
        <v>205</v>
      </c>
      <c r="B948" s="80" t="s">
        <v>48</v>
      </c>
      <c r="C948" s="85">
        <f>C949+C950</f>
        <v>1304000</v>
      </c>
      <c r="D948" s="86">
        <f t="shared" si="38"/>
        <v>1369200</v>
      </c>
      <c r="E948" s="86">
        <f t="shared" si="38"/>
        <v>1437660</v>
      </c>
    </row>
    <row r="949" spans="1:5" ht="31.25" x14ac:dyDescent="0.3">
      <c r="A949" s="83" t="s">
        <v>131</v>
      </c>
      <c r="B949" s="83" t="s">
        <v>206</v>
      </c>
      <c r="C949" s="409">
        <v>420000</v>
      </c>
      <c r="D949" s="82">
        <f t="shared" si="38"/>
        <v>441000</v>
      </c>
      <c r="E949" s="82">
        <f t="shared" si="38"/>
        <v>463050</v>
      </c>
    </row>
    <row r="950" spans="1:5" ht="15.65" x14ac:dyDescent="0.3">
      <c r="A950" s="83" t="s">
        <v>133</v>
      </c>
      <c r="B950" s="83" t="s">
        <v>207</v>
      </c>
      <c r="C950" s="409">
        <v>884000</v>
      </c>
      <c r="D950" s="82">
        <f t="shared" si="38"/>
        <v>928200</v>
      </c>
      <c r="E950" s="82">
        <f t="shared" si="38"/>
        <v>974610</v>
      </c>
    </row>
    <row r="951" spans="1:5" ht="15.65" x14ac:dyDescent="0.3">
      <c r="A951" s="80" t="s">
        <v>208</v>
      </c>
      <c r="B951" s="80" t="s">
        <v>209</v>
      </c>
      <c r="C951" s="82"/>
      <c r="D951" s="82">
        <f t="shared" si="38"/>
        <v>0</v>
      </c>
      <c r="E951" s="82">
        <f t="shared" si="38"/>
        <v>0</v>
      </c>
    </row>
    <row r="952" spans="1:5" ht="15.65" x14ac:dyDescent="0.3">
      <c r="A952" s="83" t="s">
        <v>210</v>
      </c>
      <c r="B952" s="83" t="s">
        <v>66</v>
      </c>
      <c r="C952" s="82"/>
      <c r="D952" s="82">
        <f t="shared" si="38"/>
        <v>0</v>
      </c>
      <c r="E952" s="82">
        <f t="shared" si="38"/>
        <v>0</v>
      </c>
    </row>
    <row r="953" spans="1:5" ht="15.65" x14ac:dyDescent="0.3">
      <c r="A953" s="80" t="s">
        <v>211</v>
      </c>
      <c r="B953" s="80" t="s">
        <v>51</v>
      </c>
      <c r="C953" s="85">
        <f>C954+C955+C956+C957+C958+C959+C960+C961+C962</f>
        <v>13650041</v>
      </c>
      <c r="D953" s="86">
        <f t="shared" si="38"/>
        <v>14332543.050000001</v>
      </c>
      <c r="E953" s="86">
        <f t="shared" si="38"/>
        <v>15049170.202500001</v>
      </c>
    </row>
    <row r="954" spans="1:5" ht="15.65" x14ac:dyDescent="0.3">
      <c r="A954" s="83" t="s">
        <v>212</v>
      </c>
      <c r="B954" s="83" t="s">
        <v>213</v>
      </c>
      <c r="C954" s="409">
        <v>4021876</v>
      </c>
      <c r="D954" s="82">
        <f t="shared" si="38"/>
        <v>4222969.8</v>
      </c>
      <c r="E954" s="82">
        <f t="shared" si="38"/>
        <v>4434118.29</v>
      </c>
    </row>
    <row r="955" spans="1:5" ht="15.65" x14ac:dyDescent="0.3">
      <c r="A955" s="83" t="s">
        <v>214</v>
      </c>
      <c r="B955" s="83" t="s">
        <v>215</v>
      </c>
      <c r="C955" s="409">
        <v>3675265</v>
      </c>
      <c r="D955" s="82">
        <f t="shared" si="38"/>
        <v>3859028.25</v>
      </c>
      <c r="E955" s="82">
        <f t="shared" si="38"/>
        <v>4051979.6625000001</v>
      </c>
    </row>
    <row r="956" spans="1:5" ht="15.65" x14ac:dyDescent="0.3">
      <c r="A956" s="83" t="s">
        <v>216</v>
      </c>
      <c r="B956" s="83" t="s">
        <v>217</v>
      </c>
      <c r="C956" s="409">
        <v>1450000</v>
      </c>
      <c r="D956" s="82">
        <f t="shared" si="38"/>
        <v>1522500</v>
      </c>
      <c r="E956" s="82">
        <f t="shared" si="38"/>
        <v>1598625</v>
      </c>
    </row>
    <row r="957" spans="1:5" ht="15.65" x14ac:dyDescent="0.3">
      <c r="A957" s="83" t="s">
        <v>261</v>
      </c>
      <c r="B957" s="83" t="s">
        <v>218</v>
      </c>
      <c r="C957" s="409">
        <v>96000</v>
      </c>
      <c r="D957" s="82">
        <f t="shared" si="38"/>
        <v>100800</v>
      </c>
      <c r="E957" s="82">
        <f t="shared" si="38"/>
        <v>105840</v>
      </c>
    </row>
    <row r="958" spans="1:5" ht="15.65" x14ac:dyDescent="0.3">
      <c r="A958" s="83" t="s">
        <v>219</v>
      </c>
      <c r="B958" s="83" t="s">
        <v>220</v>
      </c>
      <c r="C958" s="409">
        <v>1940000</v>
      </c>
      <c r="D958" s="86">
        <f t="shared" si="38"/>
        <v>2037000</v>
      </c>
      <c r="E958" s="86">
        <f t="shared" si="38"/>
        <v>2138850</v>
      </c>
    </row>
    <row r="959" spans="1:5" ht="15.65" x14ac:dyDescent="0.3">
      <c r="A959" s="83" t="s">
        <v>221</v>
      </c>
      <c r="B959" s="83" t="s">
        <v>222</v>
      </c>
      <c r="C959" s="409">
        <v>2048350</v>
      </c>
      <c r="D959" s="82">
        <f t="shared" si="38"/>
        <v>2150767.5</v>
      </c>
      <c r="E959" s="82">
        <f t="shared" si="38"/>
        <v>2258305.875</v>
      </c>
    </row>
    <row r="960" spans="1:5" ht="15.65" x14ac:dyDescent="0.3">
      <c r="A960" s="83" t="s">
        <v>262</v>
      </c>
      <c r="B960" s="83" t="s">
        <v>55</v>
      </c>
      <c r="C960" s="409">
        <v>168550</v>
      </c>
      <c r="D960" s="82">
        <f t="shared" si="38"/>
        <v>176977.5</v>
      </c>
      <c r="E960" s="82">
        <f t="shared" si="38"/>
        <v>185826.375</v>
      </c>
    </row>
    <row r="961" spans="1:5" ht="15.65" x14ac:dyDescent="0.3">
      <c r="A961" s="89">
        <v>2211019</v>
      </c>
      <c r="B961" s="90" t="s">
        <v>251</v>
      </c>
      <c r="C961" s="12">
        <v>0</v>
      </c>
      <c r="D961" s="82">
        <f>C962*1.05</f>
        <v>262500</v>
      </c>
      <c r="E961" s="82">
        <f t="shared" si="38"/>
        <v>275625</v>
      </c>
    </row>
    <row r="962" spans="1:5" ht="15.65" x14ac:dyDescent="0.3">
      <c r="A962" s="83" t="s">
        <v>223</v>
      </c>
      <c r="B962" s="83" t="s">
        <v>224</v>
      </c>
      <c r="C962" s="409">
        <v>250000</v>
      </c>
      <c r="D962" s="82">
        <f>C962*1.05</f>
        <v>262500</v>
      </c>
      <c r="E962" s="82">
        <f t="shared" si="38"/>
        <v>275625</v>
      </c>
    </row>
    <row r="963" spans="1:5" ht="15.65" x14ac:dyDescent="0.3">
      <c r="A963" s="83" t="s">
        <v>225</v>
      </c>
      <c r="B963" s="83" t="s">
        <v>263</v>
      </c>
      <c r="C963" s="394"/>
      <c r="D963" s="82">
        <f t="shared" si="38"/>
        <v>0</v>
      </c>
      <c r="E963" s="82">
        <f t="shared" si="38"/>
        <v>0</v>
      </c>
    </row>
    <row r="964" spans="1:5" ht="15.65" x14ac:dyDescent="0.3">
      <c r="A964" s="80" t="s">
        <v>227</v>
      </c>
      <c r="B964" s="80" t="s">
        <v>56</v>
      </c>
      <c r="C964" s="85">
        <f>C965+C966+C967</f>
        <v>2666400</v>
      </c>
      <c r="D964" s="86">
        <f t="shared" si="38"/>
        <v>2799720</v>
      </c>
      <c r="E964" s="86">
        <f t="shared" si="38"/>
        <v>2939706</v>
      </c>
    </row>
    <row r="965" spans="1:5" ht="31.25" x14ac:dyDescent="0.3">
      <c r="A965" s="83" t="s">
        <v>138</v>
      </c>
      <c r="B965" s="83" t="s">
        <v>228</v>
      </c>
      <c r="C965" s="409">
        <v>1000400</v>
      </c>
      <c r="D965" s="82">
        <f>C965*1.05</f>
        <v>1050420</v>
      </c>
      <c r="E965" s="82">
        <f t="shared" si="38"/>
        <v>1102941</v>
      </c>
    </row>
    <row r="966" spans="1:5" ht="15.65" x14ac:dyDescent="0.3">
      <c r="A966" s="83" t="s">
        <v>229</v>
      </c>
      <c r="B966" s="83" t="s">
        <v>58</v>
      </c>
      <c r="C966" s="409">
        <v>845000</v>
      </c>
      <c r="D966" s="82">
        <f>C966*1.05</f>
        <v>887250</v>
      </c>
      <c r="E966" s="82">
        <f t="shared" si="38"/>
        <v>931612.5</v>
      </c>
    </row>
    <row r="967" spans="1:5" ht="15.65" x14ac:dyDescent="0.3">
      <c r="A967" s="83" t="s">
        <v>140</v>
      </c>
      <c r="B967" s="83" t="s">
        <v>230</v>
      </c>
      <c r="C967" s="409">
        <v>821000</v>
      </c>
      <c r="D967" s="82">
        <f>C967*1.05</f>
        <v>862050</v>
      </c>
      <c r="E967" s="82">
        <f t="shared" si="38"/>
        <v>905152.5</v>
      </c>
    </row>
    <row r="968" spans="1:5" ht="15.65" x14ac:dyDescent="0.3">
      <c r="A968" s="80" t="s">
        <v>231</v>
      </c>
      <c r="B968" s="80" t="s">
        <v>60</v>
      </c>
      <c r="C968" s="85">
        <f>C969+C970</f>
        <v>2855000</v>
      </c>
      <c r="D968" s="86">
        <f t="shared" si="38"/>
        <v>2997750</v>
      </c>
      <c r="E968" s="86">
        <f t="shared" si="38"/>
        <v>3147637.5</v>
      </c>
    </row>
    <row r="969" spans="1:5" ht="15.65" x14ac:dyDescent="0.3">
      <c r="A969" s="83" t="s">
        <v>142</v>
      </c>
      <c r="B969" s="83" t="s">
        <v>143</v>
      </c>
      <c r="C969" s="409">
        <v>2000000</v>
      </c>
      <c r="D969" s="82">
        <f>C969*1.05</f>
        <v>2100000</v>
      </c>
      <c r="E969" s="82">
        <f t="shared" si="38"/>
        <v>2205000</v>
      </c>
    </row>
    <row r="970" spans="1:5" x14ac:dyDescent="0.35">
      <c r="A970" s="83" t="s">
        <v>232</v>
      </c>
      <c r="B970" s="83" t="s">
        <v>264</v>
      </c>
      <c r="C970" s="409">
        <v>855000</v>
      </c>
      <c r="D970" s="82">
        <f>C970*1.05</f>
        <v>897750</v>
      </c>
      <c r="E970" s="82">
        <f t="shared" si="38"/>
        <v>942637.5</v>
      </c>
    </row>
    <row r="971" spans="1:5" ht="15.65" x14ac:dyDescent="0.3">
      <c r="A971" s="80" t="s">
        <v>234</v>
      </c>
      <c r="B971" s="80" t="s">
        <v>62</v>
      </c>
      <c r="C971" s="85">
        <f>C972+C973+C974+C975+C976</f>
        <v>1592311</v>
      </c>
      <c r="D971" s="86">
        <f t="shared" si="38"/>
        <v>1671926.55</v>
      </c>
      <c r="E971" s="86">
        <f t="shared" si="38"/>
        <v>1755522.8775000002</v>
      </c>
    </row>
    <row r="972" spans="1:5" ht="15.65" x14ac:dyDescent="0.3">
      <c r="A972" s="83" t="s">
        <v>265</v>
      </c>
      <c r="B972" s="83" t="s">
        <v>266</v>
      </c>
      <c r="C972" s="409">
        <v>24000</v>
      </c>
      <c r="D972" s="82">
        <f t="shared" si="38"/>
        <v>25200</v>
      </c>
      <c r="E972" s="82">
        <f t="shared" si="38"/>
        <v>26460</v>
      </c>
    </row>
    <row r="973" spans="1:5" ht="15.65" x14ac:dyDescent="0.3">
      <c r="A973" s="83" t="s">
        <v>235</v>
      </c>
      <c r="B973" s="83" t="s">
        <v>267</v>
      </c>
      <c r="C973" s="409">
        <v>1568311</v>
      </c>
      <c r="D973" s="82">
        <f t="shared" si="38"/>
        <v>1646726.55</v>
      </c>
      <c r="E973" s="82">
        <f t="shared" si="38"/>
        <v>1729062.8775000002</v>
      </c>
    </row>
    <row r="974" spans="1:5" ht="15.65" x14ac:dyDescent="0.3">
      <c r="A974" s="83" t="s">
        <v>144</v>
      </c>
      <c r="B974" s="83" t="s">
        <v>64</v>
      </c>
      <c r="C974" s="88"/>
      <c r="D974" s="82">
        <f t="shared" si="38"/>
        <v>0</v>
      </c>
      <c r="E974" s="82">
        <f t="shared" si="38"/>
        <v>0</v>
      </c>
    </row>
    <row r="975" spans="1:5" ht="31.25" x14ac:dyDescent="0.3">
      <c r="A975" s="83" t="s">
        <v>145</v>
      </c>
      <c r="B975" s="83" t="s">
        <v>65</v>
      </c>
      <c r="C975" s="88"/>
      <c r="D975" s="82">
        <f t="shared" si="38"/>
        <v>0</v>
      </c>
      <c r="E975" s="82">
        <f t="shared" si="38"/>
        <v>0</v>
      </c>
    </row>
    <row r="976" spans="1:5" ht="15.65" x14ac:dyDescent="0.3">
      <c r="A976" s="83" t="s">
        <v>286</v>
      </c>
      <c r="B976" s="83" t="s">
        <v>69</v>
      </c>
      <c r="C976" s="88">
        <v>0</v>
      </c>
      <c r="D976" s="82">
        <f t="shared" si="38"/>
        <v>0</v>
      </c>
      <c r="E976" s="82">
        <f t="shared" si="38"/>
        <v>0</v>
      </c>
    </row>
    <row r="977" spans="1:5" ht="31.25" x14ac:dyDescent="0.3">
      <c r="A977" s="80" t="s">
        <v>237</v>
      </c>
      <c r="B977" s="80" t="s">
        <v>71</v>
      </c>
      <c r="C977" s="91">
        <f>C978</f>
        <v>1450125</v>
      </c>
      <c r="D977" s="86">
        <f t="shared" si="38"/>
        <v>1522631.25</v>
      </c>
      <c r="E977" s="86">
        <f t="shared" si="38"/>
        <v>1598762.8125</v>
      </c>
    </row>
    <row r="978" spans="1:5" ht="15.65" x14ac:dyDescent="0.3">
      <c r="A978" s="83" t="s">
        <v>148</v>
      </c>
      <c r="B978" s="83" t="s">
        <v>72</v>
      </c>
      <c r="C978" s="409">
        <v>1450125</v>
      </c>
      <c r="D978" s="82">
        <f t="shared" si="38"/>
        <v>1522631.25</v>
      </c>
      <c r="E978" s="82">
        <f t="shared" si="38"/>
        <v>1598762.8125</v>
      </c>
    </row>
    <row r="979" spans="1:5" ht="15.65" x14ac:dyDescent="0.3">
      <c r="A979" s="80" t="s">
        <v>238</v>
      </c>
      <c r="B979" s="80" t="s">
        <v>73</v>
      </c>
      <c r="C979" s="85">
        <f>C980+C981+C982+C983</f>
        <v>2300300</v>
      </c>
      <c r="D979" s="86">
        <f t="shared" si="38"/>
        <v>2415315</v>
      </c>
      <c r="E979" s="86">
        <f t="shared" si="38"/>
        <v>2536080.75</v>
      </c>
    </row>
    <row r="980" spans="1:5" ht="31.25" x14ac:dyDescent="0.3">
      <c r="A980" s="83" t="s">
        <v>269</v>
      </c>
      <c r="B980" s="83" t="s">
        <v>74</v>
      </c>
      <c r="C980" s="409">
        <v>545000</v>
      </c>
      <c r="D980" s="82">
        <f t="shared" si="38"/>
        <v>572250</v>
      </c>
      <c r="E980" s="82">
        <f t="shared" si="38"/>
        <v>600862.5</v>
      </c>
    </row>
    <row r="981" spans="1:5" ht="15.65" x14ac:dyDescent="0.3">
      <c r="A981" s="83" t="s">
        <v>270</v>
      </c>
      <c r="B981" s="83" t="s">
        <v>75</v>
      </c>
      <c r="C981" s="409">
        <v>100000</v>
      </c>
      <c r="D981" s="82">
        <f t="shared" si="38"/>
        <v>105000</v>
      </c>
      <c r="E981" s="82">
        <f t="shared" si="38"/>
        <v>110250</v>
      </c>
    </row>
    <row r="982" spans="1:5" ht="15.65" x14ac:dyDescent="0.3">
      <c r="A982" s="83" t="s">
        <v>239</v>
      </c>
      <c r="B982" s="83" t="s">
        <v>240</v>
      </c>
      <c r="C982" s="409">
        <v>1000000</v>
      </c>
      <c r="D982" s="82">
        <f t="shared" si="38"/>
        <v>1050000</v>
      </c>
      <c r="E982" s="82">
        <f t="shared" si="38"/>
        <v>1102500</v>
      </c>
    </row>
    <row r="983" spans="1:5" ht="15.65" x14ac:dyDescent="0.3">
      <c r="A983" s="83" t="s">
        <v>241</v>
      </c>
      <c r="B983" s="83" t="s">
        <v>76</v>
      </c>
      <c r="C983" s="409">
        <v>655300</v>
      </c>
      <c r="D983" s="82">
        <f t="shared" si="38"/>
        <v>688065</v>
      </c>
      <c r="E983" s="82">
        <f t="shared" si="38"/>
        <v>722468.25</v>
      </c>
    </row>
    <row r="984" spans="1:5" ht="15.65" x14ac:dyDescent="0.3">
      <c r="A984" s="83" t="s">
        <v>242</v>
      </c>
      <c r="B984" s="83" t="s">
        <v>77</v>
      </c>
      <c r="C984" s="394"/>
      <c r="D984" s="82">
        <f t="shared" si="38"/>
        <v>0</v>
      </c>
      <c r="E984" s="82">
        <f t="shared" si="38"/>
        <v>0</v>
      </c>
    </row>
    <row r="985" spans="1:5" ht="15.65" x14ac:dyDescent="0.3">
      <c r="A985" s="83"/>
      <c r="B985" s="83"/>
      <c r="C985" s="12"/>
      <c r="D985" s="82">
        <f t="shared" si="38"/>
        <v>0</v>
      </c>
      <c r="E985" s="82">
        <f t="shared" si="38"/>
        <v>0</v>
      </c>
    </row>
    <row r="986" spans="1:5" ht="15.65" x14ac:dyDescent="0.3">
      <c r="A986" s="80">
        <v>3110900</v>
      </c>
      <c r="B986" s="80" t="s">
        <v>271</v>
      </c>
      <c r="C986" s="85">
        <f>C987</f>
        <v>0</v>
      </c>
      <c r="D986" s="366">
        <f t="shared" si="38"/>
        <v>0</v>
      </c>
      <c r="E986" s="366">
        <f t="shared" si="38"/>
        <v>0</v>
      </c>
    </row>
    <row r="987" spans="1:5" ht="15.65" x14ac:dyDescent="0.3">
      <c r="A987" s="83" t="s">
        <v>272</v>
      </c>
      <c r="B987" s="83" t="s">
        <v>273</v>
      </c>
      <c r="C987" s="394"/>
      <c r="D987" s="82">
        <f t="shared" si="38"/>
        <v>0</v>
      </c>
      <c r="E987" s="82">
        <f t="shared" si="38"/>
        <v>0</v>
      </c>
    </row>
    <row r="988" spans="1:5" ht="15.65" x14ac:dyDescent="0.3">
      <c r="A988" s="80" t="s">
        <v>274</v>
      </c>
      <c r="B988" s="80" t="s">
        <v>82</v>
      </c>
      <c r="C988" s="92">
        <f>C989+C990</f>
        <v>555000</v>
      </c>
      <c r="D988" s="366">
        <f t="shared" si="38"/>
        <v>582750</v>
      </c>
      <c r="E988" s="366">
        <f t="shared" si="38"/>
        <v>611887.5</v>
      </c>
    </row>
    <row r="989" spans="1:5" ht="15.65" x14ac:dyDescent="0.3">
      <c r="A989" s="83" t="s">
        <v>153</v>
      </c>
      <c r="B989" s="83" t="s">
        <v>83</v>
      </c>
      <c r="C989" s="409">
        <v>500000</v>
      </c>
      <c r="D989" s="82">
        <f t="shared" ref="D989:E1004" si="39">C989*1.05</f>
        <v>525000</v>
      </c>
      <c r="E989" s="82">
        <f t="shared" si="39"/>
        <v>551250</v>
      </c>
    </row>
    <row r="990" spans="1:5" ht="15.65" x14ac:dyDescent="0.3">
      <c r="A990" s="83" t="s">
        <v>275</v>
      </c>
      <c r="B990" s="83" t="s">
        <v>84</v>
      </c>
      <c r="C990" s="409">
        <v>55000</v>
      </c>
      <c r="D990" s="82">
        <f t="shared" si="39"/>
        <v>57750</v>
      </c>
      <c r="E990" s="82">
        <f t="shared" si="39"/>
        <v>60637.5</v>
      </c>
    </row>
    <row r="991" spans="1:5" ht="15.65" x14ac:dyDescent="0.3">
      <c r="A991" s="83" t="s">
        <v>276</v>
      </c>
      <c r="B991" s="12" t="s">
        <v>750</v>
      </c>
      <c r="C991" s="148">
        <v>0</v>
      </c>
      <c r="D991" s="82">
        <f t="shared" si="39"/>
        <v>0</v>
      </c>
      <c r="E991" s="82">
        <f t="shared" si="39"/>
        <v>0</v>
      </c>
    </row>
    <row r="992" spans="1:5" ht="15.65" x14ac:dyDescent="0.3">
      <c r="A992" s="12">
        <v>3110701</v>
      </c>
      <c r="B992" s="410" t="s">
        <v>277</v>
      </c>
      <c r="C992" s="148">
        <v>0</v>
      </c>
      <c r="D992" s="82">
        <f>C996*1.05</f>
        <v>0</v>
      </c>
      <c r="E992" s="82">
        <f t="shared" si="39"/>
        <v>0</v>
      </c>
    </row>
    <row r="993" spans="1:5" ht="15.65" x14ac:dyDescent="0.3">
      <c r="A993" s="80" t="s">
        <v>278</v>
      </c>
      <c r="B993" s="80" t="s">
        <v>279</v>
      </c>
      <c r="C993" s="92">
        <f>C994+C995</f>
        <v>2800000</v>
      </c>
      <c r="D993" s="86">
        <f t="shared" si="39"/>
        <v>2940000</v>
      </c>
      <c r="E993" s="86">
        <f t="shared" si="39"/>
        <v>3087000</v>
      </c>
    </row>
    <row r="994" spans="1:5" ht="15.65" x14ac:dyDescent="0.3">
      <c r="A994" s="83" t="s">
        <v>280</v>
      </c>
      <c r="B994" s="83" t="s">
        <v>281</v>
      </c>
      <c r="C994" s="88">
        <v>0</v>
      </c>
      <c r="D994" s="82">
        <f t="shared" si="39"/>
        <v>0</v>
      </c>
      <c r="E994" s="82">
        <f t="shared" si="39"/>
        <v>0</v>
      </c>
    </row>
    <row r="995" spans="1:5" ht="31.25" x14ac:dyDescent="0.3">
      <c r="A995" s="83" t="s">
        <v>282</v>
      </c>
      <c r="B995" s="83" t="s">
        <v>283</v>
      </c>
      <c r="C995" s="409">
        <v>2800000</v>
      </c>
      <c r="D995" s="82">
        <f t="shared" si="39"/>
        <v>2940000</v>
      </c>
      <c r="E995" s="82">
        <f t="shared" si="39"/>
        <v>3087000</v>
      </c>
    </row>
    <row r="996" spans="1:5" ht="15.65" x14ac:dyDescent="0.3">
      <c r="A996" s="83">
        <v>3111403</v>
      </c>
      <c r="B996" s="83" t="s">
        <v>284</v>
      </c>
      <c r="C996" s="82"/>
      <c r="D996" s="82">
        <f t="shared" si="39"/>
        <v>0</v>
      </c>
      <c r="E996" s="82">
        <f t="shared" si="39"/>
        <v>0</v>
      </c>
    </row>
    <row r="997" spans="1:5" ht="31.25" x14ac:dyDescent="0.3">
      <c r="A997" s="83"/>
      <c r="B997" s="80" t="s">
        <v>918</v>
      </c>
      <c r="C997" s="396">
        <f>C923+C926+C930+C938+C948+C953+C964+C968+C971+C977+C979+C986+C988+C993</f>
        <v>30936198</v>
      </c>
      <c r="D997" s="86">
        <f t="shared" si="39"/>
        <v>32483007.900000002</v>
      </c>
      <c r="E997" s="86">
        <f t="shared" si="39"/>
        <v>34107158.295000002</v>
      </c>
    </row>
    <row r="998" spans="1:5" ht="15.65" x14ac:dyDescent="0.3">
      <c r="A998" s="339"/>
      <c r="B998" s="76"/>
      <c r="C998" s="397"/>
      <c r="D998" s="82">
        <f t="shared" si="39"/>
        <v>0</v>
      </c>
      <c r="E998" s="82">
        <f t="shared" si="39"/>
        <v>0</v>
      </c>
    </row>
    <row r="999" spans="1:5" ht="15.65" x14ac:dyDescent="0.3">
      <c r="A999" s="148"/>
      <c r="B999" s="380" t="s">
        <v>897</v>
      </c>
      <c r="C999" s="397"/>
      <c r="D999" s="82">
        <f t="shared" si="39"/>
        <v>0</v>
      </c>
      <c r="E999" s="82">
        <f t="shared" si="39"/>
        <v>0</v>
      </c>
    </row>
    <row r="1000" spans="1:5" ht="15.65" x14ac:dyDescent="0.3">
      <c r="A1000" s="339">
        <v>3110599</v>
      </c>
      <c r="B1000" s="393" t="s">
        <v>699</v>
      </c>
      <c r="C1000" s="397">
        <v>0</v>
      </c>
      <c r="D1000" s="82">
        <f t="shared" si="39"/>
        <v>0</v>
      </c>
      <c r="E1000" s="82">
        <f t="shared" si="39"/>
        <v>0</v>
      </c>
    </row>
    <row r="1001" spans="1:5" ht="15.65" x14ac:dyDescent="0.3">
      <c r="A1001" s="76">
        <v>3110504</v>
      </c>
      <c r="B1001" s="147" t="s">
        <v>583</v>
      </c>
      <c r="C1001" s="397">
        <v>0</v>
      </c>
      <c r="D1001" s="82">
        <f t="shared" si="39"/>
        <v>0</v>
      </c>
      <c r="E1001" s="82">
        <f t="shared" si="39"/>
        <v>0</v>
      </c>
    </row>
    <row r="1002" spans="1:5" ht="15.65" x14ac:dyDescent="0.3">
      <c r="A1002" s="347" t="s">
        <v>272</v>
      </c>
      <c r="B1002" s="357" t="s">
        <v>273</v>
      </c>
      <c r="C1002" s="397">
        <v>0</v>
      </c>
      <c r="D1002" s="82">
        <f t="shared" si="39"/>
        <v>0</v>
      </c>
      <c r="E1002" s="82">
        <f t="shared" si="39"/>
        <v>0</v>
      </c>
    </row>
    <row r="1003" spans="1:5" ht="15.65" x14ac:dyDescent="0.3">
      <c r="A1003" s="76">
        <v>2410104</v>
      </c>
      <c r="B1003" s="147" t="s">
        <v>751</v>
      </c>
      <c r="C1003" s="397">
        <v>0</v>
      </c>
      <c r="D1003" s="82">
        <f t="shared" si="39"/>
        <v>0</v>
      </c>
      <c r="E1003" s="82">
        <f t="shared" si="39"/>
        <v>0</v>
      </c>
    </row>
    <row r="1004" spans="1:5" ht="15.65" x14ac:dyDescent="0.3">
      <c r="A1004" s="339">
        <v>2410104</v>
      </c>
      <c r="B1004" s="339" t="s">
        <v>245</v>
      </c>
      <c r="C1004" s="397">
        <v>0</v>
      </c>
      <c r="D1004" s="82">
        <f t="shared" si="39"/>
        <v>0</v>
      </c>
      <c r="E1004" s="82">
        <f t="shared" si="39"/>
        <v>0</v>
      </c>
    </row>
    <row r="1005" spans="1:5" ht="31.25" x14ac:dyDescent="0.3">
      <c r="A1005" s="339"/>
      <c r="B1005" s="380" t="s">
        <v>919</v>
      </c>
      <c r="C1005" s="397">
        <f>C1000+C1001+C1002+C1003+C1004</f>
        <v>0</v>
      </c>
      <c r="D1005" s="82">
        <f t="shared" ref="D1005:E1006" si="40">C1005*1.05</f>
        <v>0</v>
      </c>
      <c r="E1005" s="82">
        <f t="shared" si="40"/>
        <v>0</v>
      </c>
    </row>
    <row r="1006" spans="1:5" ht="46.75" x14ac:dyDescent="0.3">
      <c r="A1006" s="339"/>
      <c r="B1006" s="380" t="s">
        <v>920</v>
      </c>
      <c r="C1006" s="396">
        <f>C997+C1005</f>
        <v>30936198</v>
      </c>
      <c r="D1006" s="366">
        <f t="shared" si="40"/>
        <v>32483007.900000002</v>
      </c>
      <c r="E1006" s="366">
        <f t="shared" si="40"/>
        <v>34107158.295000002</v>
      </c>
    </row>
    <row r="1007" spans="1:5" ht="31.25" x14ac:dyDescent="0.3">
      <c r="A1007" s="339"/>
      <c r="B1007" s="380" t="s">
        <v>921</v>
      </c>
      <c r="C1007" s="79" t="s">
        <v>184</v>
      </c>
      <c r="D1007" s="79" t="s">
        <v>746</v>
      </c>
      <c r="E1007" s="79" t="s">
        <v>791</v>
      </c>
    </row>
    <row r="1008" spans="1:5" ht="15.65" x14ac:dyDescent="0.3">
      <c r="A1008" s="339"/>
      <c r="B1008" s="380" t="s">
        <v>902</v>
      </c>
      <c r="C1008" s="396"/>
      <c r="D1008" s="366"/>
      <c r="E1008" s="366"/>
    </row>
    <row r="1009" spans="1:5" ht="15.65" x14ac:dyDescent="0.3">
      <c r="A1009" s="80" t="s">
        <v>294</v>
      </c>
      <c r="B1009" s="80" t="s">
        <v>295</v>
      </c>
      <c r="C1009" s="81">
        <v>0</v>
      </c>
      <c r="D1009" s="82"/>
      <c r="E1009" s="82"/>
    </row>
    <row r="1010" spans="1:5" ht="15.65" x14ac:dyDescent="0.3">
      <c r="A1010" s="80">
        <v>2410104</v>
      </c>
      <c r="B1010" s="84" t="s">
        <v>268</v>
      </c>
      <c r="C1010" s="78">
        <v>0</v>
      </c>
      <c r="D1010" s="82"/>
      <c r="E1010" s="82"/>
    </row>
    <row r="1011" spans="1:5" ht="15.65" x14ac:dyDescent="0.3">
      <c r="A1011" s="80" t="s">
        <v>192</v>
      </c>
      <c r="B1011" s="80" t="s">
        <v>23</v>
      </c>
      <c r="C1011" s="85">
        <f>C1012+C1013</f>
        <v>687558</v>
      </c>
      <c r="D1011" s="86">
        <f>C1011*1.05</f>
        <v>721935.9</v>
      </c>
      <c r="E1011" s="86">
        <f>D1011*1.05</f>
        <v>758032.69500000007</v>
      </c>
    </row>
    <row r="1012" spans="1:5" ht="15.65" x14ac:dyDescent="0.3">
      <c r="A1012" s="83" t="s">
        <v>101</v>
      </c>
      <c r="B1012" s="83" t="s">
        <v>102</v>
      </c>
      <c r="C1012" s="411">
        <v>500000</v>
      </c>
      <c r="D1012" s="82">
        <f t="shared" ref="D1012:E1075" si="41">C1012*1.05</f>
        <v>525000</v>
      </c>
      <c r="E1012" s="82">
        <f t="shared" si="41"/>
        <v>551250</v>
      </c>
    </row>
    <row r="1013" spans="1:5" ht="15.65" x14ac:dyDescent="0.3">
      <c r="A1013" s="83" t="s">
        <v>103</v>
      </c>
      <c r="B1013" s="83" t="s">
        <v>104</v>
      </c>
      <c r="C1013" s="411">
        <v>187558</v>
      </c>
      <c r="D1013" s="82">
        <f t="shared" si="41"/>
        <v>196935.9</v>
      </c>
      <c r="E1013" s="82">
        <f t="shared" si="41"/>
        <v>206782.69500000001</v>
      </c>
    </row>
    <row r="1014" spans="1:5" ht="15.65" x14ac:dyDescent="0.3">
      <c r="A1014" s="80" t="s">
        <v>193</v>
      </c>
      <c r="B1014" s="80" t="s">
        <v>194</v>
      </c>
      <c r="C1014" s="85">
        <f>C1015+C1016+C1017</f>
        <v>119600</v>
      </c>
      <c r="D1014" s="86">
        <f t="shared" si="41"/>
        <v>125580</v>
      </c>
      <c r="E1014" s="86">
        <f t="shared" si="41"/>
        <v>131859</v>
      </c>
    </row>
    <row r="1015" spans="1:5" ht="15.65" x14ac:dyDescent="0.3">
      <c r="A1015" s="83">
        <v>2210201</v>
      </c>
      <c r="B1015" s="83" t="s">
        <v>106</v>
      </c>
      <c r="C1015" s="411">
        <v>30000</v>
      </c>
      <c r="D1015" s="82">
        <f t="shared" si="41"/>
        <v>31500</v>
      </c>
      <c r="E1015" s="82">
        <f t="shared" si="41"/>
        <v>33075</v>
      </c>
    </row>
    <row r="1016" spans="1:5" ht="15.65" x14ac:dyDescent="0.3">
      <c r="A1016" s="83" t="s">
        <v>107</v>
      </c>
      <c r="B1016" s="83" t="s">
        <v>108</v>
      </c>
      <c r="C1016" s="411">
        <v>80000</v>
      </c>
      <c r="D1016" s="82">
        <f t="shared" si="41"/>
        <v>84000</v>
      </c>
      <c r="E1016" s="82">
        <f t="shared" si="41"/>
        <v>88200</v>
      </c>
    </row>
    <row r="1017" spans="1:5" ht="15.65" x14ac:dyDescent="0.3">
      <c r="A1017" s="83" t="s">
        <v>109</v>
      </c>
      <c r="B1017" s="83" t="s">
        <v>29</v>
      </c>
      <c r="C1017" s="411">
        <v>9600</v>
      </c>
      <c r="D1017" s="82">
        <f t="shared" si="41"/>
        <v>10080</v>
      </c>
      <c r="E1017" s="82">
        <f t="shared" si="41"/>
        <v>10584</v>
      </c>
    </row>
    <row r="1018" spans="1:5" ht="31.25" x14ac:dyDescent="0.3">
      <c r="A1018" s="80" t="s">
        <v>195</v>
      </c>
      <c r="B1018" s="80" t="s">
        <v>30</v>
      </c>
      <c r="C1018" s="92">
        <f>C1019+C1020+C1021</f>
        <v>1493595</v>
      </c>
      <c r="D1018" s="366">
        <f t="shared" si="41"/>
        <v>1568274.75</v>
      </c>
      <c r="E1018" s="366">
        <f t="shared" si="41"/>
        <v>1646688.4875</v>
      </c>
    </row>
    <row r="1019" spans="1:5" ht="31.25" x14ac:dyDescent="0.3">
      <c r="A1019" s="83" t="s">
        <v>110</v>
      </c>
      <c r="B1019" s="83" t="s">
        <v>111</v>
      </c>
      <c r="C1019" s="411">
        <v>200000</v>
      </c>
      <c r="D1019" s="82">
        <f t="shared" si="41"/>
        <v>210000</v>
      </c>
      <c r="E1019" s="82">
        <f t="shared" si="41"/>
        <v>220500</v>
      </c>
    </row>
    <row r="1020" spans="1:5" ht="15.65" x14ac:dyDescent="0.3">
      <c r="A1020" s="83" t="s">
        <v>112</v>
      </c>
      <c r="B1020" s="83" t="s">
        <v>113</v>
      </c>
      <c r="C1020" s="411">
        <v>720000</v>
      </c>
      <c r="D1020" s="82">
        <f t="shared" si="41"/>
        <v>756000</v>
      </c>
      <c r="E1020" s="82">
        <f t="shared" si="41"/>
        <v>793800</v>
      </c>
    </row>
    <row r="1021" spans="1:5" ht="15.65" x14ac:dyDescent="0.3">
      <c r="A1021" s="83" t="s">
        <v>114</v>
      </c>
      <c r="B1021" s="83" t="s">
        <v>115</v>
      </c>
      <c r="C1021" s="411">
        <v>573595</v>
      </c>
      <c r="D1021" s="82">
        <f t="shared" si="41"/>
        <v>602274.75</v>
      </c>
      <c r="E1021" s="82">
        <f t="shared" si="41"/>
        <v>632388.48750000005</v>
      </c>
    </row>
    <row r="1022" spans="1:5" ht="31.25" x14ac:dyDescent="0.3">
      <c r="A1022" s="80" t="s">
        <v>117</v>
      </c>
      <c r="B1022" s="80" t="s">
        <v>118</v>
      </c>
      <c r="C1022" s="85">
        <v>0</v>
      </c>
      <c r="D1022" s="82">
        <f t="shared" si="41"/>
        <v>0</v>
      </c>
      <c r="E1022" s="82">
        <f t="shared" si="41"/>
        <v>0</v>
      </c>
    </row>
    <row r="1023" spans="1:5" ht="15.65" x14ac:dyDescent="0.3">
      <c r="A1023" s="83" t="s">
        <v>119</v>
      </c>
      <c r="B1023" s="83" t="s">
        <v>120</v>
      </c>
      <c r="C1023" s="88">
        <v>0</v>
      </c>
      <c r="D1023" s="82">
        <f t="shared" si="41"/>
        <v>0</v>
      </c>
      <c r="E1023" s="82">
        <f t="shared" si="41"/>
        <v>0</v>
      </c>
    </row>
    <row r="1024" spans="1:5" ht="15.65" x14ac:dyDescent="0.3">
      <c r="A1024" s="83" t="s">
        <v>197</v>
      </c>
      <c r="B1024" s="83" t="s">
        <v>198</v>
      </c>
      <c r="C1024" s="88">
        <v>0</v>
      </c>
      <c r="D1024" s="82">
        <f t="shared" si="41"/>
        <v>0</v>
      </c>
      <c r="E1024" s="82">
        <f t="shared" si="41"/>
        <v>0</v>
      </c>
    </row>
    <row r="1025" spans="1:5" ht="15.65" x14ac:dyDescent="0.3">
      <c r="A1025" s="83" t="s">
        <v>121</v>
      </c>
      <c r="B1025" s="83" t="s">
        <v>115</v>
      </c>
      <c r="C1025" s="88">
        <v>0</v>
      </c>
      <c r="D1025" s="82">
        <f t="shared" si="41"/>
        <v>0</v>
      </c>
      <c r="E1025" s="82">
        <f t="shared" si="41"/>
        <v>0</v>
      </c>
    </row>
    <row r="1026" spans="1:5" ht="31.25" x14ac:dyDescent="0.3">
      <c r="A1026" s="80" t="s">
        <v>199</v>
      </c>
      <c r="B1026" s="80" t="s">
        <v>38</v>
      </c>
      <c r="C1026" s="92">
        <f>C1027+C1028+C1029</f>
        <v>80500</v>
      </c>
      <c r="D1026" s="366">
        <f t="shared" si="41"/>
        <v>84525</v>
      </c>
      <c r="E1026" s="366">
        <f t="shared" si="41"/>
        <v>88751.25</v>
      </c>
    </row>
    <row r="1027" spans="1:5" ht="15.65" x14ac:dyDescent="0.3">
      <c r="A1027" s="83" t="s">
        <v>200</v>
      </c>
      <c r="B1027" s="83" t="s">
        <v>201</v>
      </c>
      <c r="C1027" s="411">
        <v>80000</v>
      </c>
      <c r="D1027" s="82">
        <f t="shared" si="41"/>
        <v>84000</v>
      </c>
      <c r="E1027" s="82">
        <f t="shared" si="41"/>
        <v>88200</v>
      </c>
    </row>
    <row r="1028" spans="1:5" ht="15.65" x14ac:dyDescent="0.3">
      <c r="A1028" s="83" t="s">
        <v>122</v>
      </c>
      <c r="B1028" s="83" t="s">
        <v>123</v>
      </c>
      <c r="C1028" s="411">
        <v>500</v>
      </c>
      <c r="D1028" s="82">
        <f t="shared" si="41"/>
        <v>525</v>
      </c>
      <c r="E1028" s="82">
        <f t="shared" si="41"/>
        <v>551.25</v>
      </c>
    </row>
    <row r="1029" spans="1:5" ht="15.65" x14ac:dyDescent="0.3">
      <c r="A1029" s="83" t="s">
        <v>124</v>
      </c>
      <c r="B1029" s="83" t="s">
        <v>125</v>
      </c>
      <c r="C1029" s="88">
        <v>0</v>
      </c>
      <c r="D1029" s="82">
        <f t="shared" si="41"/>
        <v>0</v>
      </c>
      <c r="E1029" s="82">
        <f t="shared" si="41"/>
        <v>0</v>
      </c>
    </row>
    <row r="1030" spans="1:5" ht="15.65" x14ac:dyDescent="0.3">
      <c r="A1030" s="83" t="s">
        <v>202</v>
      </c>
      <c r="B1030" s="83" t="s">
        <v>41</v>
      </c>
      <c r="C1030" s="82"/>
      <c r="D1030" s="82">
        <f t="shared" si="41"/>
        <v>0</v>
      </c>
      <c r="E1030" s="82">
        <f t="shared" si="41"/>
        <v>0</v>
      </c>
    </row>
    <row r="1031" spans="1:5" ht="15.65" x14ac:dyDescent="0.3">
      <c r="A1031" s="80" t="s">
        <v>259</v>
      </c>
      <c r="B1031" s="80" t="s">
        <v>42</v>
      </c>
      <c r="C1031" s="88">
        <f>C1032</f>
        <v>0</v>
      </c>
      <c r="D1031" s="82">
        <f t="shared" si="41"/>
        <v>0</v>
      </c>
      <c r="E1031" s="82">
        <f t="shared" si="41"/>
        <v>0</v>
      </c>
    </row>
    <row r="1032" spans="1:5" ht="15.65" x14ac:dyDescent="0.3">
      <c r="A1032" s="83" t="s">
        <v>260</v>
      </c>
      <c r="B1032" s="83" t="s">
        <v>43</v>
      </c>
      <c r="C1032" s="88">
        <v>0</v>
      </c>
      <c r="D1032" s="82">
        <f t="shared" si="41"/>
        <v>0</v>
      </c>
      <c r="E1032" s="82">
        <f t="shared" si="41"/>
        <v>0</v>
      </c>
    </row>
    <row r="1033" spans="1:5" ht="15.65" x14ac:dyDescent="0.3">
      <c r="A1033" s="80" t="s">
        <v>203</v>
      </c>
      <c r="B1033" s="80" t="s">
        <v>45</v>
      </c>
      <c r="C1033" s="85"/>
      <c r="D1033" s="82">
        <f t="shared" si="41"/>
        <v>0</v>
      </c>
      <c r="E1033" s="82">
        <f t="shared" si="41"/>
        <v>0</v>
      </c>
    </row>
    <row r="1034" spans="1:5" ht="15.65" x14ac:dyDescent="0.3">
      <c r="A1034" s="83" t="s">
        <v>127</v>
      </c>
      <c r="B1034" s="83" t="s">
        <v>128</v>
      </c>
      <c r="C1034" s="12"/>
      <c r="D1034" s="82">
        <f t="shared" si="41"/>
        <v>0</v>
      </c>
      <c r="E1034" s="82">
        <f t="shared" si="41"/>
        <v>0</v>
      </c>
    </row>
    <row r="1035" spans="1:5" ht="15.65" x14ac:dyDescent="0.3">
      <c r="A1035" s="83" t="s">
        <v>129</v>
      </c>
      <c r="B1035" s="83" t="s">
        <v>130</v>
      </c>
      <c r="C1035" s="12"/>
      <c r="D1035" s="82">
        <f t="shared" si="41"/>
        <v>0</v>
      </c>
      <c r="E1035" s="82">
        <f t="shared" si="41"/>
        <v>0</v>
      </c>
    </row>
    <row r="1036" spans="1:5" ht="15.65" x14ac:dyDescent="0.3">
      <c r="A1036" s="80" t="s">
        <v>205</v>
      </c>
      <c r="B1036" s="80" t="s">
        <v>48</v>
      </c>
      <c r="C1036" s="85">
        <f>C1037+C1038+C1039</f>
        <v>1200000</v>
      </c>
      <c r="D1036" s="86">
        <f t="shared" si="41"/>
        <v>1260000</v>
      </c>
      <c r="E1036" s="86">
        <f t="shared" si="41"/>
        <v>1323000</v>
      </c>
    </row>
    <row r="1037" spans="1:5" ht="31.25" x14ac:dyDescent="0.3">
      <c r="A1037" s="83" t="s">
        <v>131</v>
      </c>
      <c r="B1037" s="83" t="s">
        <v>206</v>
      </c>
      <c r="C1037" s="411">
        <v>400000</v>
      </c>
      <c r="D1037" s="82">
        <f t="shared" si="41"/>
        <v>420000</v>
      </c>
      <c r="E1037" s="82">
        <f t="shared" si="41"/>
        <v>441000</v>
      </c>
    </row>
    <row r="1038" spans="1:5" ht="15.65" x14ac:dyDescent="0.3">
      <c r="A1038" s="83" t="s">
        <v>133</v>
      </c>
      <c r="B1038" s="83" t="s">
        <v>207</v>
      </c>
      <c r="C1038" s="411">
        <v>800000</v>
      </c>
      <c r="D1038" s="82">
        <f t="shared" si="41"/>
        <v>840000</v>
      </c>
      <c r="E1038" s="82">
        <f t="shared" si="41"/>
        <v>882000</v>
      </c>
    </row>
    <row r="1039" spans="1:5" ht="15.65" x14ac:dyDescent="0.3">
      <c r="A1039" s="80" t="s">
        <v>208</v>
      </c>
      <c r="B1039" s="80" t="s">
        <v>209</v>
      </c>
      <c r="C1039" s="82"/>
      <c r="D1039" s="82">
        <f t="shared" si="41"/>
        <v>0</v>
      </c>
      <c r="E1039" s="82">
        <f t="shared" si="41"/>
        <v>0</v>
      </c>
    </row>
    <row r="1040" spans="1:5" ht="15.65" x14ac:dyDescent="0.3">
      <c r="A1040" s="83" t="s">
        <v>210</v>
      </c>
      <c r="B1040" s="83" t="s">
        <v>66</v>
      </c>
      <c r="C1040" s="82"/>
      <c r="D1040" s="82">
        <f t="shared" si="41"/>
        <v>0</v>
      </c>
      <c r="E1040" s="82">
        <f t="shared" si="41"/>
        <v>0</v>
      </c>
    </row>
    <row r="1041" spans="1:5" ht="15.65" x14ac:dyDescent="0.3">
      <c r="A1041" s="80" t="s">
        <v>211</v>
      </c>
      <c r="B1041" s="80" t="s">
        <v>51</v>
      </c>
      <c r="C1041" s="85">
        <f>C1042+C1043+C1044+C1045+C1046+C1047</f>
        <v>4865000</v>
      </c>
      <c r="D1041" s="86">
        <f t="shared" si="41"/>
        <v>5108250</v>
      </c>
      <c r="E1041" s="86">
        <f t="shared" si="41"/>
        <v>5363662.5</v>
      </c>
    </row>
    <row r="1042" spans="1:5" ht="15.65" x14ac:dyDescent="0.3">
      <c r="A1042" s="83" t="s">
        <v>212</v>
      </c>
      <c r="B1042" s="83" t="s">
        <v>213</v>
      </c>
      <c r="C1042" s="411">
        <v>1600000</v>
      </c>
      <c r="D1042" s="82">
        <f t="shared" si="41"/>
        <v>1680000</v>
      </c>
      <c r="E1042" s="82">
        <f t="shared" si="41"/>
        <v>1764000</v>
      </c>
    </row>
    <row r="1043" spans="1:5" ht="15.65" x14ac:dyDescent="0.3">
      <c r="A1043" s="83" t="s">
        <v>214</v>
      </c>
      <c r="B1043" s="83" t="s">
        <v>215</v>
      </c>
      <c r="C1043" s="411">
        <v>1199000</v>
      </c>
      <c r="D1043" s="82">
        <f t="shared" si="41"/>
        <v>1258950</v>
      </c>
      <c r="E1043" s="82">
        <f t="shared" si="41"/>
        <v>1321897.5</v>
      </c>
    </row>
    <row r="1044" spans="1:5" ht="15.65" x14ac:dyDescent="0.3">
      <c r="A1044" s="83" t="s">
        <v>216</v>
      </c>
      <c r="B1044" s="83" t="s">
        <v>217</v>
      </c>
      <c r="C1044" s="411">
        <v>430000</v>
      </c>
      <c r="D1044" s="82">
        <f t="shared" si="41"/>
        <v>451500</v>
      </c>
      <c r="E1044" s="82">
        <f t="shared" si="41"/>
        <v>474075</v>
      </c>
    </row>
    <row r="1045" spans="1:5" ht="15.65" x14ac:dyDescent="0.3">
      <c r="A1045" s="83" t="s">
        <v>261</v>
      </c>
      <c r="B1045" s="83" t="s">
        <v>218</v>
      </c>
      <c r="C1045" s="411">
        <v>236000</v>
      </c>
      <c r="D1045" s="82">
        <f t="shared" si="41"/>
        <v>247800</v>
      </c>
      <c r="E1045" s="82">
        <f t="shared" si="41"/>
        <v>260190</v>
      </c>
    </row>
    <row r="1046" spans="1:5" ht="15.65" x14ac:dyDescent="0.3">
      <c r="A1046" s="83" t="s">
        <v>219</v>
      </c>
      <c r="B1046" s="83" t="s">
        <v>220</v>
      </c>
      <c r="C1046" s="411">
        <v>540000</v>
      </c>
      <c r="D1046" s="82">
        <f t="shared" si="41"/>
        <v>567000</v>
      </c>
      <c r="E1046" s="82">
        <f t="shared" si="41"/>
        <v>595350</v>
      </c>
    </row>
    <row r="1047" spans="1:5" ht="15.65" x14ac:dyDescent="0.3">
      <c r="A1047" s="83" t="s">
        <v>221</v>
      </c>
      <c r="B1047" s="83" t="s">
        <v>222</v>
      </c>
      <c r="C1047" s="411">
        <v>860000</v>
      </c>
      <c r="D1047" s="82">
        <f t="shared" si="41"/>
        <v>903000</v>
      </c>
      <c r="E1047" s="82">
        <f t="shared" si="41"/>
        <v>948150</v>
      </c>
    </row>
    <row r="1048" spans="1:5" ht="15.65" x14ac:dyDescent="0.3">
      <c r="A1048" s="83" t="s">
        <v>262</v>
      </c>
      <c r="B1048" s="83" t="s">
        <v>55</v>
      </c>
      <c r="C1048" s="12">
        <v>0</v>
      </c>
      <c r="D1048" s="82">
        <f t="shared" si="41"/>
        <v>0</v>
      </c>
      <c r="E1048" s="82">
        <f t="shared" si="41"/>
        <v>0</v>
      </c>
    </row>
    <row r="1049" spans="1:5" ht="15.65" x14ac:dyDescent="0.3">
      <c r="A1049" s="89">
        <v>2211019</v>
      </c>
      <c r="B1049" s="90" t="s">
        <v>251</v>
      </c>
      <c r="C1049" s="88">
        <v>0</v>
      </c>
      <c r="D1049" s="82">
        <f t="shared" si="41"/>
        <v>0</v>
      </c>
      <c r="E1049" s="82">
        <f t="shared" si="41"/>
        <v>0</v>
      </c>
    </row>
    <row r="1050" spans="1:5" ht="15.65" x14ac:dyDescent="0.3">
      <c r="A1050" s="83" t="s">
        <v>223</v>
      </c>
      <c r="B1050" s="83" t="s">
        <v>224</v>
      </c>
      <c r="C1050" s="411">
        <v>100000</v>
      </c>
      <c r="D1050" s="82">
        <f t="shared" si="41"/>
        <v>105000</v>
      </c>
      <c r="E1050" s="82">
        <f t="shared" si="41"/>
        <v>110250</v>
      </c>
    </row>
    <row r="1051" spans="1:5" ht="15.65" x14ac:dyDescent="0.3">
      <c r="A1051" s="83" t="s">
        <v>225</v>
      </c>
      <c r="B1051" s="83" t="s">
        <v>263</v>
      </c>
      <c r="C1051" s="88"/>
      <c r="D1051" s="82">
        <f t="shared" si="41"/>
        <v>0</v>
      </c>
      <c r="E1051" s="82">
        <f t="shared" si="41"/>
        <v>0</v>
      </c>
    </row>
    <row r="1052" spans="1:5" ht="15.65" x14ac:dyDescent="0.3">
      <c r="A1052" s="80" t="s">
        <v>227</v>
      </c>
      <c r="B1052" s="80" t="s">
        <v>56</v>
      </c>
      <c r="C1052" s="85">
        <f>C1053+C1054+C1055</f>
        <v>730000</v>
      </c>
      <c r="D1052" s="86">
        <f t="shared" si="41"/>
        <v>766500</v>
      </c>
      <c r="E1052" s="86">
        <f t="shared" si="41"/>
        <v>804825</v>
      </c>
    </row>
    <row r="1053" spans="1:5" ht="31.25" x14ac:dyDescent="0.3">
      <c r="A1053" s="83" t="s">
        <v>138</v>
      </c>
      <c r="B1053" s="83" t="s">
        <v>228</v>
      </c>
      <c r="C1053" s="411">
        <v>290000</v>
      </c>
      <c r="D1053" s="82">
        <f t="shared" si="41"/>
        <v>304500</v>
      </c>
      <c r="E1053" s="82">
        <f t="shared" si="41"/>
        <v>319725</v>
      </c>
    </row>
    <row r="1054" spans="1:5" ht="15.65" x14ac:dyDescent="0.3">
      <c r="A1054" s="83" t="s">
        <v>229</v>
      </c>
      <c r="B1054" s="83" t="s">
        <v>58</v>
      </c>
      <c r="C1054" s="411">
        <v>240000</v>
      </c>
      <c r="D1054" s="82">
        <f t="shared" si="41"/>
        <v>252000</v>
      </c>
      <c r="E1054" s="82">
        <f t="shared" si="41"/>
        <v>264600</v>
      </c>
    </row>
    <row r="1055" spans="1:5" ht="15.65" x14ac:dyDescent="0.3">
      <c r="A1055" s="83" t="s">
        <v>140</v>
      </c>
      <c r="B1055" s="83" t="s">
        <v>230</v>
      </c>
      <c r="C1055" s="411">
        <v>200000</v>
      </c>
      <c r="D1055" s="82">
        <f t="shared" si="41"/>
        <v>210000</v>
      </c>
      <c r="E1055" s="82">
        <f t="shared" si="41"/>
        <v>220500</v>
      </c>
    </row>
    <row r="1056" spans="1:5" ht="15.65" x14ac:dyDescent="0.3">
      <c r="A1056" s="80" t="s">
        <v>231</v>
      </c>
      <c r="B1056" s="80" t="s">
        <v>60</v>
      </c>
      <c r="C1056" s="85">
        <f>C1057+C1058</f>
        <v>1150000</v>
      </c>
      <c r="D1056" s="86">
        <f t="shared" si="41"/>
        <v>1207500</v>
      </c>
      <c r="E1056" s="86">
        <f t="shared" si="41"/>
        <v>1267875</v>
      </c>
    </row>
    <row r="1057" spans="1:5" ht="15.65" x14ac:dyDescent="0.3">
      <c r="A1057" s="83" t="s">
        <v>142</v>
      </c>
      <c r="B1057" s="83" t="s">
        <v>143</v>
      </c>
      <c r="C1057" s="411">
        <v>950000</v>
      </c>
      <c r="D1057" s="82">
        <f t="shared" si="41"/>
        <v>997500</v>
      </c>
      <c r="E1057" s="82">
        <f t="shared" si="41"/>
        <v>1047375</v>
      </c>
    </row>
    <row r="1058" spans="1:5" x14ac:dyDescent="0.35">
      <c r="A1058" s="83" t="s">
        <v>232</v>
      </c>
      <c r="B1058" s="83" t="s">
        <v>264</v>
      </c>
      <c r="C1058" s="411">
        <v>200000</v>
      </c>
      <c r="D1058" s="82">
        <f t="shared" si="41"/>
        <v>210000</v>
      </c>
      <c r="E1058" s="82">
        <f t="shared" si="41"/>
        <v>220500</v>
      </c>
    </row>
    <row r="1059" spans="1:5" ht="15.65" x14ac:dyDescent="0.3">
      <c r="A1059" s="80" t="s">
        <v>234</v>
      </c>
      <c r="B1059" s="80" t="s">
        <v>62</v>
      </c>
      <c r="C1059" s="85">
        <f>C1060+C1061+C1062+C1063</f>
        <v>300000</v>
      </c>
      <c r="D1059" s="86">
        <f t="shared" si="41"/>
        <v>315000</v>
      </c>
      <c r="E1059" s="86">
        <f t="shared" si="41"/>
        <v>330750</v>
      </c>
    </row>
    <row r="1060" spans="1:5" ht="15.65" x14ac:dyDescent="0.3">
      <c r="A1060" s="83" t="s">
        <v>265</v>
      </c>
      <c r="B1060" s="83" t="s">
        <v>266</v>
      </c>
      <c r="C1060" s="88">
        <v>0</v>
      </c>
      <c r="D1060" s="82">
        <f t="shared" si="41"/>
        <v>0</v>
      </c>
      <c r="E1060" s="82">
        <f t="shared" si="41"/>
        <v>0</v>
      </c>
    </row>
    <row r="1061" spans="1:5" ht="15.65" x14ac:dyDescent="0.3">
      <c r="A1061" s="83" t="s">
        <v>235</v>
      </c>
      <c r="B1061" s="83" t="s">
        <v>267</v>
      </c>
      <c r="C1061" s="411">
        <v>300000</v>
      </c>
      <c r="D1061" s="82">
        <f t="shared" si="41"/>
        <v>315000</v>
      </c>
      <c r="E1061" s="82">
        <f t="shared" si="41"/>
        <v>330750</v>
      </c>
    </row>
    <row r="1062" spans="1:5" ht="15.65" x14ac:dyDescent="0.3">
      <c r="A1062" s="83" t="s">
        <v>144</v>
      </c>
      <c r="B1062" s="83" t="s">
        <v>64</v>
      </c>
      <c r="C1062" s="88">
        <v>0</v>
      </c>
      <c r="D1062" s="82">
        <f t="shared" si="41"/>
        <v>0</v>
      </c>
      <c r="E1062" s="82">
        <f t="shared" si="41"/>
        <v>0</v>
      </c>
    </row>
    <row r="1063" spans="1:5" ht="31.25" x14ac:dyDescent="0.3">
      <c r="A1063" s="83" t="s">
        <v>145</v>
      </c>
      <c r="B1063" s="83" t="s">
        <v>65</v>
      </c>
      <c r="C1063" s="88">
        <v>0</v>
      </c>
      <c r="D1063" s="82">
        <f t="shared" si="41"/>
        <v>0</v>
      </c>
      <c r="E1063" s="82">
        <f t="shared" si="41"/>
        <v>0</v>
      </c>
    </row>
    <row r="1064" spans="1:5" ht="15.65" x14ac:dyDescent="0.3">
      <c r="A1064" s="83" t="s">
        <v>286</v>
      </c>
      <c r="B1064" s="83" t="s">
        <v>69</v>
      </c>
      <c r="C1064" s="88">
        <v>0</v>
      </c>
      <c r="D1064" s="82">
        <f t="shared" si="41"/>
        <v>0</v>
      </c>
      <c r="E1064" s="82">
        <f t="shared" si="41"/>
        <v>0</v>
      </c>
    </row>
    <row r="1065" spans="1:5" ht="31.25" x14ac:dyDescent="0.3">
      <c r="A1065" s="80" t="s">
        <v>237</v>
      </c>
      <c r="B1065" s="80" t="s">
        <v>71</v>
      </c>
      <c r="C1065" s="92">
        <f>C1066</f>
        <v>400000</v>
      </c>
      <c r="D1065" s="366">
        <f t="shared" si="41"/>
        <v>420000</v>
      </c>
      <c r="E1065" s="366">
        <f t="shared" si="41"/>
        <v>441000</v>
      </c>
    </row>
    <row r="1066" spans="1:5" ht="15.65" x14ac:dyDescent="0.3">
      <c r="A1066" s="83" t="s">
        <v>148</v>
      </c>
      <c r="B1066" s="83" t="s">
        <v>72</v>
      </c>
      <c r="C1066" s="411">
        <v>400000</v>
      </c>
      <c r="D1066" s="82">
        <f t="shared" si="41"/>
        <v>420000</v>
      </c>
      <c r="E1066" s="82">
        <f t="shared" si="41"/>
        <v>441000</v>
      </c>
    </row>
    <row r="1067" spans="1:5" ht="15.65" x14ac:dyDescent="0.3">
      <c r="A1067" s="80" t="s">
        <v>238</v>
      </c>
      <c r="B1067" s="80" t="s">
        <v>73</v>
      </c>
      <c r="C1067" s="85">
        <f>C1068+C1069+C1070+C1071+C1072</f>
        <v>1230000</v>
      </c>
      <c r="D1067" s="82">
        <f t="shared" si="41"/>
        <v>1291500</v>
      </c>
      <c r="E1067" s="82">
        <f t="shared" si="41"/>
        <v>1356075</v>
      </c>
    </row>
    <row r="1068" spans="1:5" ht="31.25" x14ac:dyDescent="0.3">
      <c r="A1068" s="83" t="s">
        <v>269</v>
      </c>
      <c r="B1068" s="83" t="s">
        <v>74</v>
      </c>
      <c r="C1068" s="411">
        <v>70000</v>
      </c>
      <c r="D1068" s="82">
        <f t="shared" si="41"/>
        <v>73500</v>
      </c>
      <c r="E1068" s="82">
        <f t="shared" si="41"/>
        <v>77175</v>
      </c>
    </row>
    <row r="1069" spans="1:5" ht="15.65" x14ac:dyDescent="0.3">
      <c r="A1069" s="83" t="s">
        <v>270</v>
      </c>
      <c r="B1069" s="83" t="s">
        <v>75</v>
      </c>
      <c r="C1069" s="411">
        <v>200000</v>
      </c>
      <c r="D1069" s="82">
        <f t="shared" si="41"/>
        <v>210000</v>
      </c>
      <c r="E1069" s="82">
        <f t="shared" si="41"/>
        <v>220500</v>
      </c>
    </row>
    <row r="1070" spans="1:5" ht="15.65" x14ac:dyDescent="0.3">
      <c r="A1070" s="83" t="s">
        <v>239</v>
      </c>
      <c r="B1070" s="83" t="s">
        <v>240</v>
      </c>
      <c r="C1070" s="411">
        <v>50000</v>
      </c>
      <c r="D1070" s="82">
        <f t="shared" si="41"/>
        <v>52500</v>
      </c>
      <c r="E1070" s="82">
        <f t="shared" si="41"/>
        <v>55125</v>
      </c>
    </row>
    <row r="1071" spans="1:5" ht="15.65" x14ac:dyDescent="0.3">
      <c r="A1071" s="83" t="s">
        <v>241</v>
      </c>
      <c r="B1071" s="83" t="s">
        <v>76</v>
      </c>
      <c r="C1071" s="411">
        <v>850000</v>
      </c>
      <c r="D1071" s="82">
        <f t="shared" si="41"/>
        <v>892500</v>
      </c>
      <c r="E1071" s="82">
        <f t="shared" si="41"/>
        <v>937125</v>
      </c>
    </row>
    <row r="1072" spans="1:5" ht="15.65" x14ac:dyDescent="0.3">
      <c r="A1072" s="83" t="s">
        <v>242</v>
      </c>
      <c r="B1072" s="83" t="s">
        <v>77</v>
      </c>
      <c r="C1072" s="411">
        <v>60000</v>
      </c>
      <c r="D1072" s="82">
        <f t="shared" si="41"/>
        <v>63000</v>
      </c>
      <c r="E1072" s="82">
        <f t="shared" si="41"/>
        <v>66150</v>
      </c>
    </row>
    <row r="1073" spans="1:5" ht="15.65" x14ac:dyDescent="0.3">
      <c r="A1073" s="83"/>
      <c r="B1073" s="83"/>
      <c r="C1073" s="12"/>
      <c r="D1073" s="82">
        <f t="shared" si="41"/>
        <v>0</v>
      </c>
      <c r="E1073" s="82">
        <f t="shared" si="41"/>
        <v>0</v>
      </c>
    </row>
    <row r="1074" spans="1:5" ht="15.65" x14ac:dyDescent="0.3">
      <c r="A1074" s="80">
        <v>3110900</v>
      </c>
      <c r="B1074" s="80" t="s">
        <v>271</v>
      </c>
      <c r="C1074" s="85">
        <f>C1075</f>
        <v>0</v>
      </c>
      <c r="D1074" s="82">
        <f t="shared" si="41"/>
        <v>0</v>
      </c>
      <c r="E1074" s="82">
        <f t="shared" si="41"/>
        <v>0</v>
      </c>
    </row>
    <row r="1075" spans="1:5" ht="15.65" x14ac:dyDescent="0.3">
      <c r="A1075" s="83" t="s">
        <v>272</v>
      </c>
      <c r="B1075" s="83" t="s">
        <v>273</v>
      </c>
      <c r="C1075" s="88"/>
      <c r="D1075" s="82">
        <f t="shared" si="41"/>
        <v>0</v>
      </c>
      <c r="E1075" s="82">
        <f t="shared" si="41"/>
        <v>0</v>
      </c>
    </row>
    <row r="1076" spans="1:5" ht="15.65" x14ac:dyDescent="0.3">
      <c r="A1076" s="80" t="s">
        <v>274</v>
      </c>
      <c r="B1076" s="80" t="s">
        <v>82</v>
      </c>
      <c r="C1076" s="92">
        <f>C1077+C1078+C1079</f>
        <v>450000</v>
      </c>
      <c r="D1076" s="366">
        <f t="shared" ref="D1076:E1085" si="42">C1076*1.05</f>
        <v>472500</v>
      </c>
      <c r="E1076" s="366">
        <f t="shared" si="42"/>
        <v>496125</v>
      </c>
    </row>
    <row r="1077" spans="1:5" ht="15.65" x14ac:dyDescent="0.3">
      <c r="A1077" s="83" t="s">
        <v>153</v>
      </c>
      <c r="B1077" s="83" t="s">
        <v>83</v>
      </c>
      <c r="C1077" s="88">
        <v>0</v>
      </c>
      <c r="D1077" s="82">
        <f t="shared" si="42"/>
        <v>0</v>
      </c>
      <c r="E1077" s="82">
        <f t="shared" si="42"/>
        <v>0</v>
      </c>
    </row>
    <row r="1078" spans="1:5" ht="15.65" x14ac:dyDescent="0.3">
      <c r="A1078" s="83" t="s">
        <v>275</v>
      </c>
      <c r="B1078" s="83" t="s">
        <v>84</v>
      </c>
      <c r="C1078" s="411">
        <v>450000</v>
      </c>
      <c r="D1078" s="82">
        <f t="shared" si="42"/>
        <v>472500</v>
      </c>
      <c r="E1078" s="82">
        <f t="shared" si="42"/>
        <v>496125</v>
      </c>
    </row>
    <row r="1079" spans="1:5" ht="15.65" x14ac:dyDescent="0.3">
      <c r="A1079" s="83" t="s">
        <v>276</v>
      </c>
      <c r="B1079" s="12" t="s">
        <v>750</v>
      </c>
      <c r="C1079" s="88">
        <v>0</v>
      </c>
      <c r="D1079" s="82">
        <f t="shared" si="42"/>
        <v>0</v>
      </c>
      <c r="E1079" s="82">
        <f t="shared" si="42"/>
        <v>0</v>
      </c>
    </row>
    <row r="1080" spans="1:5" ht="15.65" x14ac:dyDescent="0.3">
      <c r="A1080" s="12">
        <v>3110701</v>
      </c>
      <c r="B1080" s="83" t="s">
        <v>277</v>
      </c>
      <c r="C1080" s="395">
        <v>0</v>
      </c>
      <c r="D1080" s="82">
        <f t="shared" si="42"/>
        <v>0</v>
      </c>
      <c r="E1080" s="82">
        <f t="shared" si="42"/>
        <v>0</v>
      </c>
    </row>
    <row r="1081" spans="1:5" ht="15.65" x14ac:dyDescent="0.3">
      <c r="A1081" s="80" t="s">
        <v>278</v>
      </c>
      <c r="B1081" s="80" t="s">
        <v>279</v>
      </c>
      <c r="C1081" s="85">
        <f>C1082+C1083</f>
        <v>0</v>
      </c>
      <c r="D1081" s="82">
        <f t="shared" si="42"/>
        <v>0</v>
      </c>
      <c r="E1081" s="82">
        <f t="shared" si="42"/>
        <v>0</v>
      </c>
    </row>
    <row r="1082" spans="1:5" ht="15.65" x14ac:dyDescent="0.3">
      <c r="A1082" s="83" t="s">
        <v>280</v>
      </c>
      <c r="B1082" s="83" t="s">
        <v>281</v>
      </c>
      <c r="C1082" s="88">
        <v>0</v>
      </c>
      <c r="D1082" s="82">
        <f t="shared" si="42"/>
        <v>0</v>
      </c>
      <c r="E1082" s="82">
        <f t="shared" si="42"/>
        <v>0</v>
      </c>
    </row>
    <row r="1083" spans="1:5" ht="31.25" x14ac:dyDescent="0.3">
      <c r="A1083" s="83" t="s">
        <v>282</v>
      </c>
      <c r="B1083" s="83" t="s">
        <v>283</v>
      </c>
      <c r="C1083" s="88"/>
      <c r="D1083" s="82">
        <f t="shared" si="42"/>
        <v>0</v>
      </c>
      <c r="E1083" s="82">
        <f t="shared" si="42"/>
        <v>0</v>
      </c>
    </row>
    <row r="1084" spans="1:5" ht="15.65" x14ac:dyDescent="0.3">
      <c r="A1084" s="83">
        <v>3111403</v>
      </c>
      <c r="B1084" s="83" t="s">
        <v>284</v>
      </c>
      <c r="C1084" s="82"/>
      <c r="D1084" s="82">
        <f t="shared" si="42"/>
        <v>0</v>
      </c>
      <c r="E1084" s="82">
        <f t="shared" si="42"/>
        <v>0</v>
      </c>
    </row>
    <row r="1085" spans="1:5" ht="15.65" x14ac:dyDescent="0.3">
      <c r="A1085" s="83"/>
      <c r="B1085" s="80" t="s">
        <v>922</v>
      </c>
      <c r="C1085" s="78">
        <f>C1011+C1014+C1018+C1026+C1036+C1041+C1052+C1056+C1059+C1065+C1067+C1074+C1076</f>
        <v>12706253</v>
      </c>
      <c r="D1085" s="86">
        <f t="shared" si="42"/>
        <v>13341565.65</v>
      </c>
      <c r="E1085" s="86">
        <f t="shared" si="42"/>
        <v>14008643.932500001</v>
      </c>
    </row>
    <row r="1086" spans="1:5" ht="15.65" x14ac:dyDescent="0.3">
      <c r="A1086" s="83"/>
      <c r="B1086" s="80"/>
      <c r="C1086" s="78"/>
      <c r="D1086" s="86"/>
      <c r="E1086" s="86"/>
    </row>
    <row r="1087" spans="1:5" ht="15.65" x14ac:dyDescent="0.3">
      <c r="A1087" s="83"/>
      <c r="B1087" s="80"/>
      <c r="C1087" s="78"/>
      <c r="D1087" s="86"/>
      <c r="E1087" s="86"/>
    </row>
    <row r="1088" spans="1:5" ht="15.65" x14ac:dyDescent="0.3">
      <c r="A1088" s="83"/>
      <c r="B1088" s="80"/>
      <c r="C1088" s="78"/>
      <c r="D1088" s="86"/>
      <c r="E1088" s="86"/>
    </row>
    <row r="1089" spans="1:5" ht="15.65" x14ac:dyDescent="0.3">
      <c r="A1089" s="83"/>
      <c r="B1089" s="80"/>
      <c r="C1089" s="78"/>
      <c r="D1089" s="86"/>
      <c r="E1089" s="86"/>
    </row>
    <row r="1090" spans="1:5" ht="31.25" x14ac:dyDescent="0.3">
      <c r="A1090" s="78"/>
      <c r="B1090" s="78" t="s">
        <v>923</v>
      </c>
      <c r="C1090" s="79" t="s">
        <v>184</v>
      </c>
      <c r="D1090" s="79" t="s">
        <v>746</v>
      </c>
      <c r="E1090" s="79" t="s">
        <v>791</v>
      </c>
    </row>
    <row r="1091" spans="1:5" ht="15.65" x14ac:dyDescent="0.3">
      <c r="A1091" s="78"/>
      <c r="B1091" s="78" t="s">
        <v>902</v>
      </c>
      <c r="C1091" s="79"/>
      <c r="D1091" s="79"/>
      <c r="E1091" s="79"/>
    </row>
    <row r="1092" spans="1:5" ht="15.65" x14ac:dyDescent="0.3">
      <c r="A1092" s="80" t="s">
        <v>185</v>
      </c>
      <c r="B1092" s="80" t="s">
        <v>186</v>
      </c>
      <c r="C1092" s="81">
        <f>C1093</f>
        <v>0</v>
      </c>
      <c r="D1092" s="82"/>
      <c r="E1092" s="82"/>
    </row>
    <row r="1093" spans="1:5" ht="15.65" x14ac:dyDescent="0.3">
      <c r="A1093" s="83" t="s">
        <v>98</v>
      </c>
      <c r="B1093" s="83" t="s">
        <v>99</v>
      </c>
      <c r="C1093" s="81">
        <v>0</v>
      </c>
      <c r="D1093" s="82"/>
      <c r="E1093" s="82"/>
    </row>
    <row r="1094" spans="1:5" ht="15.65" x14ac:dyDescent="0.3">
      <c r="A1094" s="80" t="s">
        <v>3</v>
      </c>
      <c r="B1094" s="80" t="s">
        <v>4</v>
      </c>
      <c r="C1094" s="78">
        <f>C1095</f>
        <v>0</v>
      </c>
      <c r="D1094" s="82"/>
      <c r="E1094" s="82"/>
    </row>
    <row r="1095" spans="1:5" ht="15.65" x14ac:dyDescent="0.3">
      <c r="A1095" s="83" t="s">
        <v>5</v>
      </c>
      <c r="B1095" s="83" t="s">
        <v>6</v>
      </c>
      <c r="C1095" s="81">
        <v>0</v>
      </c>
      <c r="D1095" s="82"/>
      <c r="E1095" s="82"/>
    </row>
    <row r="1096" spans="1:5" ht="15.65" x14ac:dyDescent="0.3">
      <c r="A1096" s="80" t="s">
        <v>289</v>
      </c>
      <c r="B1096" s="80" t="s">
        <v>290</v>
      </c>
      <c r="C1096" s="81">
        <f>C1097+C1098</f>
        <v>0</v>
      </c>
      <c r="D1096" s="82"/>
      <c r="E1096" s="82"/>
    </row>
    <row r="1097" spans="1:5" ht="15.65" x14ac:dyDescent="0.3">
      <c r="A1097" s="83" t="s">
        <v>291</v>
      </c>
      <c r="B1097" s="83" t="s">
        <v>10</v>
      </c>
      <c r="C1097" s="81">
        <v>0</v>
      </c>
      <c r="D1097" s="82"/>
      <c r="E1097" s="82"/>
    </row>
    <row r="1098" spans="1:5" ht="15.65" x14ac:dyDescent="0.3">
      <c r="A1098" s="83" t="s">
        <v>292</v>
      </c>
      <c r="B1098" s="83" t="s">
        <v>293</v>
      </c>
      <c r="C1098" s="81">
        <v>0</v>
      </c>
      <c r="D1098" s="82"/>
      <c r="E1098" s="82"/>
    </row>
    <row r="1099" spans="1:5" ht="15.65" x14ac:dyDescent="0.3">
      <c r="A1099" s="80" t="s">
        <v>294</v>
      </c>
      <c r="B1099" s="80" t="s">
        <v>295</v>
      </c>
      <c r="C1099" s="81">
        <v>0</v>
      </c>
      <c r="D1099" s="82"/>
      <c r="E1099" s="82"/>
    </row>
    <row r="1100" spans="1:5" ht="15.65" x14ac:dyDescent="0.3">
      <c r="A1100" s="80">
        <v>2410104</v>
      </c>
      <c r="B1100" s="84" t="s">
        <v>268</v>
      </c>
      <c r="C1100" s="78">
        <v>0</v>
      </c>
      <c r="D1100" s="82"/>
      <c r="E1100" s="82"/>
    </row>
    <row r="1101" spans="1:5" ht="15.65" x14ac:dyDescent="0.3">
      <c r="A1101" s="80" t="s">
        <v>192</v>
      </c>
      <c r="B1101" s="80" t="s">
        <v>23</v>
      </c>
      <c r="C1101" s="85">
        <f>C1102+C1103</f>
        <v>500000</v>
      </c>
      <c r="D1101" s="86">
        <f>C1101*1.05</f>
        <v>525000</v>
      </c>
      <c r="E1101" s="86">
        <f>D1101*1.05</f>
        <v>551250</v>
      </c>
    </row>
    <row r="1102" spans="1:5" ht="15.65" x14ac:dyDescent="0.3">
      <c r="A1102" s="83" t="s">
        <v>101</v>
      </c>
      <c r="B1102" s="83" t="s">
        <v>102</v>
      </c>
      <c r="C1102" s="87">
        <v>350000</v>
      </c>
      <c r="D1102" s="82">
        <f t="shared" ref="D1102:E1166" si="43">C1102*1.05</f>
        <v>367500</v>
      </c>
      <c r="E1102" s="82">
        <f t="shared" si="43"/>
        <v>385875</v>
      </c>
    </row>
    <row r="1103" spans="1:5" ht="15.65" x14ac:dyDescent="0.3">
      <c r="A1103" s="83" t="s">
        <v>103</v>
      </c>
      <c r="B1103" s="83" t="s">
        <v>104</v>
      </c>
      <c r="C1103" s="87">
        <v>150000</v>
      </c>
      <c r="D1103" s="82">
        <f t="shared" si="43"/>
        <v>157500</v>
      </c>
      <c r="E1103" s="82">
        <f t="shared" si="43"/>
        <v>165375</v>
      </c>
    </row>
    <row r="1104" spans="1:5" ht="15.65" x14ac:dyDescent="0.3">
      <c r="A1104" s="80" t="s">
        <v>193</v>
      </c>
      <c r="B1104" s="80" t="s">
        <v>194</v>
      </c>
      <c r="C1104" s="85">
        <f>C1105+C1106+C1107</f>
        <v>90000</v>
      </c>
      <c r="D1104" s="82">
        <f t="shared" si="43"/>
        <v>94500</v>
      </c>
      <c r="E1104" s="82">
        <f t="shared" si="43"/>
        <v>99225</v>
      </c>
    </row>
    <row r="1105" spans="1:5" ht="15.65" x14ac:dyDescent="0.3">
      <c r="A1105" s="83">
        <v>2210201</v>
      </c>
      <c r="B1105" s="83" t="s">
        <v>106</v>
      </c>
      <c r="C1105" s="87">
        <v>70000</v>
      </c>
      <c r="D1105" s="82">
        <f t="shared" si="43"/>
        <v>73500</v>
      </c>
      <c r="E1105" s="82">
        <f t="shared" si="43"/>
        <v>77175</v>
      </c>
    </row>
    <row r="1106" spans="1:5" ht="15.65" x14ac:dyDescent="0.3">
      <c r="A1106" s="83" t="s">
        <v>107</v>
      </c>
      <c r="B1106" s="83" t="s">
        <v>108</v>
      </c>
      <c r="C1106" s="88">
        <v>0</v>
      </c>
      <c r="D1106" s="82">
        <f t="shared" si="43"/>
        <v>0</v>
      </c>
      <c r="E1106" s="82">
        <f t="shared" si="43"/>
        <v>0</v>
      </c>
    </row>
    <row r="1107" spans="1:5" ht="15.65" x14ac:dyDescent="0.3">
      <c r="A1107" s="83" t="s">
        <v>109</v>
      </c>
      <c r="B1107" s="83" t="s">
        <v>29</v>
      </c>
      <c r="C1107" s="87">
        <v>20000</v>
      </c>
      <c r="D1107" s="82">
        <f t="shared" si="43"/>
        <v>21000</v>
      </c>
      <c r="E1107" s="82">
        <f t="shared" si="43"/>
        <v>22050</v>
      </c>
    </row>
    <row r="1108" spans="1:5" ht="31.25" x14ac:dyDescent="0.3">
      <c r="A1108" s="80" t="s">
        <v>195</v>
      </c>
      <c r="B1108" s="80" t="s">
        <v>30</v>
      </c>
      <c r="C1108" s="85">
        <f>C1109+C1110+C1111</f>
        <v>140000</v>
      </c>
      <c r="D1108" s="86">
        <f t="shared" si="43"/>
        <v>147000</v>
      </c>
      <c r="E1108" s="86">
        <f t="shared" si="43"/>
        <v>154350</v>
      </c>
    </row>
    <row r="1109" spans="1:5" ht="31.25" x14ac:dyDescent="0.3">
      <c r="A1109" s="83" t="s">
        <v>110</v>
      </c>
      <c r="B1109" s="83" t="s">
        <v>111</v>
      </c>
      <c r="C1109" s="87">
        <v>100000</v>
      </c>
      <c r="D1109" s="82">
        <f t="shared" si="43"/>
        <v>105000</v>
      </c>
      <c r="E1109" s="82">
        <f t="shared" si="43"/>
        <v>110250</v>
      </c>
    </row>
    <row r="1110" spans="1:5" ht="15.65" x14ac:dyDescent="0.3">
      <c r="A1110" s="83" t="s">
        <v>112</v>
      </c>
      <c r="B1110" s="83" t="s">
        <v>113</v>
      </c>
      <c r="C1110" s="87">
        <v>0</v>
      </c>
      <c r="D1110" s="82">
        <f t="shared" si="43"/>
        <v>0</v>
      </c>
      <c r="E1110" s="82">
        <f t="shared" si="43"/>
        <v>0</v>
      </c>
    </row>
    <row r="1111" spans="1:5" ht="15.65" x14ac:dyDescent="0.3">
      <c r="A1111" s="83" t="s">
        <v>114</v>
      </c>
      <c r="B1111" s="83" t="s">
        <v>115</v>
      </c>
      <c r="C1111" s="87">
        <v>40000</v>
      </c>
      <c r="D1111" s="82">
        <f t="shared" si="43"/>
        <v>42000</v>
      </c>
      <c r="E1111" s="82">
        <f t="shared" si="43"/>
        <v>44100</v>
      </c>
    </row>
    <row r="1112" spans="1:5" ht="31.25" x14ac:dyDescent="0.3">
      <c r="A1112" s="80" t="s">
        <v>117</v>
      </c>
      <c r="B1112" s="80" t="s">
        <v>118</v>
      </c>
      <c r="C1112" s="85">
        <v>0</v>
      </c>
      <c r="D1112" s="82">
        <f t="shared" si="43"/>
        <v>0</v>
      </c>
      <c r="E1112" s="82">
        <f t="shared" si="43"/>
        <v>0</v>
      </c>
    </row>
    <row r="1113" spans="1:5" ht="15.65" x14ac:dyDescent="0.3">
      <c r="A1113" s="83" t="s">
        <v>119</v>
      </c>
      <c r="B1113" s="83" t="s">
        <v>120</v>
      </c>
      <c r="C1113" s="88">
        <v>0</v>
      </c>
      <c r="D1113" s="82">
        <f t="shared" si="43"/>
        <v>0</v>
      </c>
      <c r="E1113" s="82">
        <f t="shared" si="43"/>
        <v>0</v>
      </c>
    </row>
    <row r="1114" spans="1:5" ht="15.65" x14ac:dyDescent="0.3">
      <c r="A1114" s="83" t="s">
        <v>197</v>
      </c>
      <c r="B1114" s="83" t="s">
        <v>198</v>
      </c>
      <c r="C1114" s="88">
        <v>0</v>
      </c>
      <c r="D1114" s="82">
        <f t="shared" si="43"/>
        <v>0</v>
      </c>
      <c r="E1114" s="82">
        <f t="shared" si="43"/>
        <v>0</v>
      </c>
    </row>
    <row r="1115" spans="1:5" ht="15.65" x14ac:dyDescent="0.3">
      <c r="A1115" s="83" t="s">
        <v>121</v>
      </c>
      <c r="B1115" s="83" t="s">
        <v>115</v>
      </c>
      <c r="C1115" s="88">
        <v>0</v>
      </c>
      <c r="D1115" s="82">
        <f t="shared" si="43"/>
        <v>0</v>
      </c>
      <c r="E1115" s="82">
        <f t="shared" si="43"/>
        <v>0</v>
      </c>
    </row>
    <row r="1116" spans="1:5" ht="31.25" x14ac:dyDescent="0.3">
      <c r="A1116" s="80" t="s">
        <v>199</v>
      </c>
      <c r="B1116" s="80" t="s">
        <v>38</v>
      </c>
      <c r="C1116" s="85">
        <v>0</v>
      </c>
      <c r="D1116" s="86">
        <f t="shared" si="43"/>
        <v>0</v>
      </c>
      <c r="E1116" s="86">
        <f t="shared" si="43"/>
        <v>0</v>
      </c>
    </row>
    <row r="1117" spans="1:5" ht="15.65" x14ac:dyDescent="0.3">
      <c r="A1117" s="83" t="s">
        <v>200</v>
      </c>
      <c r="B1117" s="83" t="s">
        <v>201</v>
      </c>
      <c r="C1117" s="88">
        <v>0</v>
      </c>
      <c r="D1117" s="82">
        <f t="shared" si="43"/>
        <v>0</v>
      </c>
      <c r="E1117" s="82">
        <f t="shared" si="43"/>
        <v>0</v>
      </c>
    </row>
    <row r="1118" spans="1:5" ht="15.65" x14ac:dyDescent="0.3">
      <c r="A1118" s="83" t="s">
        <v>122</v>
      </c>
      <c r="B1118" s="83" t="s">
        <v>123</v>
      </c>
      <c r="C1118" s="88">
        <v>0</v>
      </c>
      <c r="D1118" s="82">
        <f t="shared" si="43"/>
        <v>0</v>
      </c>
      <c r="E1118" s="82">
        <f t="shared" si="43"/>
        <v>0</v>
      </c>
    </row>
    <row r="1119" spans="1:5" ht="15.65" x14ac:dyDescent="0.3">
      <c r="A1119" s="83" t="s">
        <v>124</v>
      </c>
      <c r="B1119" s="83" t="s">
        <v>125</v>
      </c>
      <c r="C1119" s="88">
        <v>0</v>
      </c>
      <c r="D1119" s="82">
        <f t="shared" si="43"/>
        <v>0</v>
      </c>
      <c r="E1119" s="82">
        <f t="shared" si="43"/>
        <v>0</v>
      </c>
    </row>
    <row r="1120" spans="1:5" ht="15.65" x14ac:dyDescent="0.3">
      <c r="A1120" s="83" t="s">
        <v>202</v>
      </c>
      <c r="B1120" s="83" t="s">
        <v>41</v>
      </c>
      <c r="C1120" s="82"/>
      <c r="D1120" s="82">
        <f t="shared" si="43"/>
        <v>0</v>
      </c>
      <c r="E1120" s="82">
        <f t="shared" si="43"/>
        <v>0</v>
      </c>
    </row>
    <row r="1121" spans="1:5" ht="15.65" x14ac:dyDescent="0.3">
      <c r="A1121" s="80" t="s">
        <v>259</v>
      </c>
      <c r="B1121" s="80" t="s">
        <v>42</v>
      </c>
      <c r="C1121" s="85">
        <v>0</v>
      </c>
      <c r="D1121" s="82">
        <f t="shared" si="43"/>
        <v>0</v>
      </c>
      <c r="E1121" s="82">
        <f t="shared" si="43"/>
        <v>0</v>
      </c>
    </row>
    <row r="1122" spans="1:5" ht="15.65" x14ac:dyDescent="0.3">
      <c r="A1122" s="83" t="s">
        <v>260</v>
      </c>
      <c r="B1122" s="83" t="s">
        <v>43</v>
      </c>
      <c r="C1122" s="88">
        <v>0</v>
      </c>
      <c r="D1122" s="82">
        <f t="shared" si="43"/>
        <v>0</v>
      </c>
      <c r="E1122" s="82">
        <f t="shared" si="43"/>
        <v>0</v>
      </c>
    </row>
    <row r="1123" spans="1:5" ht="15.65" x14ac:dyDescent="0.3">
      <c r="A1123" s="80" t="s">
        <v>203</v>
      </c>
      <c r="B1123" s="80" t="s">
        <v>45</v>
      </c>
      <c r="C1123" s="88">
        <v>0</v>
      </c>
      <c r="D1123" s="82">
        <f t="shared" si="43"/>
        <v>0</v>
      </c>
      <c r="E1123" s="82">
        <f t="shared" si="43"/>
        <v>0</v>
      </c>
    </row>
    <row r="1124" spans="1:5" ht="15.65" x14ac:dyDescent="0.3">
      <c r="A1124" s="83" t="s">
        <v>127</v>
      </c>
      <c r="B1124" s="83" t="s">
        <v>128</v>
      </c>
      <c r="C1124" s="88">
        <v>0</v>
      </c>
      <c r="D1124" s="82">
        <f t="shared" si="43"/>
        <v>0</v>
      </c>
      <c r="E1124" s="82">
        <f t="shared" si="43"/>
        <v>0</v>
      </c>
    </row>
    <row r="1125" spans="1:5" ht="15.65" x14ac:dyDescent="0.3">
      <c r="A1125" s="83" t="s">
        <v>129</v>
      </c>
      <c r="B1125" s="83" t="s">
        <v>130</v>
      </c>
      <c r="C1125" s="88">
        <v>0</v>
      </c>
      <c r="D1125" s="82">
        <f t="shared" si="43"/>
        <v>0</v>
      </c>
      <c r="E1125" s="82">
        <f t="shared" si="43"/>
        <v>0</v>
      </c>
    </row>
    <row r="1126" spans="1:5" ht="15.65" x14ac:dyDescent="0.3">
      <c r="A1126" s="80" t="s">
        <v>205</v>
      </c>
      <c r="B1126" s="80" t="s">
        <v>48</v>
      </c>
      <c r="C1126" s="85">
        <f>C1127+C1128</f>
        <v>270000</v>
      </c>
      <c r="D1126" s="82">
        <f t="shared" si="43"/>
        <v>283500</v>
      </c>
      <c r="E1126" s="82">
        <f t="shared" si="43"/>
        <v>297675</v>
      </c>
    </row>
    <row r="1127" spans="1:5" ht="31.25" x14ac:dyDescent="0.3">
      <c r="A1127" s="83" t="s">
        <v>131</v>
      </c>
      <c r="B1127" s="83" t="s">
        <v>206</v>
      </c>
      <c r="C1127" s="87">
        <v>70000</v>
      </c>
      <c r="D1127" s="82">
        <f t="shared" si="43"/>
        <v>73500</v>
      </c>
      <c r="E1127" s="82">
        <f t="shared" si="43"/>
        <v>77175</v>
      </c>
    </row>
    <row r="1128" spans="1:5" ht="15.65" x14ac:dyDescent="0.3">
      <c r="A1128" s="83" t="s">
        <v>133</v>
      </c>
      <c r="B1128" s="83" t="s">
        <v>207</v>
      </c>
      <c r="C1128" s="87">
        <v>200000</v>
      </c>
      <c r="D1128" s="82">
        <f t="shared" si="43"/>
        <v>210000</v>
      </c>
      <c r="E1128" s="82">
        <f t="shared" si="43"/>
        <v>220500</v>
      </c>
    </row>
    <row r="1129" spans="1:5" ht="15.65" x14ac:dyDescent="0.3">
      <c r="A1129" s="80" t="s">
        <v>208</v>
      </c>
      <c r="B1129" s="80" t="s">
        <v>209</v>
      </c>
      <c r="C1129" s="82"/>
      <c r="D1129" s="82">
        <f t="shared" si="43"/>
        <v>0</v>
      </c>
      <c r="E1129" s="82">
        <f t="shared" si="43"/>
        <v>0</v>
      </c>
    </row>
    <row r="1130" spans="1:5" ht="15.65" x14ac:dyDescent="0.3">
      <c r="A1130" s="83" t="s">
        <v>210</v>
      </c>
      <c r="B1130" s="83" t="s">
        <v>66</v>
      </c>
      <c r="C1130" s="82"/>
      <c r="D1130" s="82">
        <f t="shared" si="43"/>
        <v>0</v>
      </c>
      <c r="E1130" s="82">
        <f t="shared" si="43"/>
        <v>0</v>
      </c>
    </row>
    <row r="1131" spans="1:5" ht="15.65" x14ac:dyDescent="0.3">
      <c r="A1131" s="80" t="s">
        <v>211</v>
      </c>
      <c r="B1131" s="80" t="s">
        <v>51</v>
      </c>
      <c r="C1131" s="85">
        <f>C1132+C1133+C1134+C1135+C1136+C1137+C1138+C1139+C1140</f>
        <v>3216755</v>
      </c>
      <c r="D1131" s="82">
        <f t="shared" si="43"/>
        <v>3377592.75</v>
      </c>
      <c r="E1131" s="82">
        <f t="shared" si="43"/>
        <v>3546472.3875000002</v>
      </c>
    </row>
    <row r="1132" spans="1:5" ht="15.65" x14ac:dyDescent="0.3">
      <c r="A1132" s="83" t="s">
        <v>212</v>
      </c>
      <c r="B1132" s="83" t="s">
        <v>213</v>
      </c>
      <c r="C1132" s="87">
        <v>920000</v>
      </c>
      <c r="D1132" s="82">
        <f t="shared" si="43"/>
        <v>966000</v>
      </c>
      <c r="E1132" s="82">
        <f t="shared" si="43"/>
        <v>1014300</v>
      </c>
    </row>
    <row r="1133" spans="1:5" ht="15.65" x14ac:dyDescent="0.3">
      <c r="A1133" s="83" t="s">
        <v>214</v>
      </c>
      <c r="B1133" s="83" t="s">
        <v>215</v>
      </c>
      <c r="C1133" s="87">
        <v>751755</v>
      </c>
      <c r="D1133" s="82">
        <f t="shared" si="43"/>
        <v>789342.75</v>
      </c>
      <c r="E1133" s="82">
        <f t="shared" si="43"/>
        <v>828809.88750000007</v>
      </c>
    </row>
    <row r="1134" spans="1:5" ht="15.65" x14ac:dyDescent="0.3">
      <c r="A1134" s="83" t="s">
        <v>216</v>
      </c>
      <c r="B1134" s="83" t="s">
        <v>217</v>
      </c>
      <c r="C1134" s="87">
        <v>50000</v>
      </c>
      <c r="D1134" s="82">
        <f t="shared" si="43"/>
        <v>52500</v>
      </c>
      <c r="E1134" s="82">
        <f t="shared" si="43"/>
        <v>55125</v>
      </c>
    </row>
    <row r="1135" spans="1:5" ht="15.65" x14ac:dyDescent="0.3">
      <c r="A1135" s="83" t="s">
        <v>261</v>
      </c>
      <c r="B1135" s="83" t="s">
        <v>218</v>
      </c>
      <c r="C1135" s="87">
        <v>30000</v>
      </c>
      <c r="D1135" s="82">
        <f t="shared" si="43"/>
        <v>31500</v>
      </c>
      <c r="E1135" s="82">
        <f t="shared" si="43"/>
        <v>33075</v>
      </c>
    </row>
    <row r="1136" spans="1:5" ht="15.65" x14ac:dyDescent="0.3">
      <c r="A1136" s="83" t="s">
        <v>219</v>
      </c>
      <c r="B1136" s="83" t="s">
        <v>220</v>
      </c>
      <c r="C1136" s="87">
        <v>540000</v>
      </c>
      <c r="D1136" s="82">
        <f t="shared" si="43"/>
        <v>567000</v>
      </c>
      <c r="E1136" s="82">
        <f t="shared" si="43"/>
        <v>595350</v>
      </c>
    </row>
    <row r="1137" spans="1:5" ht="15.65" x14ac:dyDescent="0.3">
      <c r="A1137" s="83" t="s">
        <v>221</v>
      </c>
      <c r="B1137" s="83" t="s">
        <v>222</v>
      </c>
      <c r="C1137" s="87">
        <v>850000</v>
      </c>
      <c r="D1137" s="82">
        <f t="shared" si="43"/>
        <v>892500</v>
      </c>
      <c r="E1137" s="82">
        <f t="shared" si="43"/>
        <v>937125</v>
      </c>
    </row>
    <row r="1138" spans="1:5" ht="15.65" x14ac:dyDescent="0.3">
      <c r="A1138" s="83" t="s">
        <v>262</v>
      </c>
      <c r="B1138" s="83" t="s">
        <v>55</v>
      </c>
      <c r="C1138" s="87">
        <v>30000</v>
      </c>
      <c r="D1138" s="82">
        <f t="shared" si="43"/>
        <v>31500</v>
      </c>
      <c r="E1138" s="82">
        <f t="shared" si="43"/>
        <v>33075</v>
      </c>
    </row>
    <row r="1139" spans="1:5" ht="15.65" x14ac:dyDescent="0.3">
      <c r="A1139" s="89">
        <v>2211019</v>
      </c>
      <c r="B1139" s="90" t="s">
        <v>251</v>
      </c>
      <c r="C1139" s="87">
        <v>0</v>
      </c>
      <c r="D1139" s="82">
        <f t="shared" si="43"/>
        <v>0</v>
      </c>
      <c r="E1139" s="82">
        <f t="shared" si="43"/>
        <v>0</v>
      </c>
    </row>
    <row r="1140" spans="1:5" ht="15.65" x14ac:dyDescent="0.3">
      <c r="A1140" s="83" t="s">
        <v>223</v>
      </c>
      <c r="B1140" s="83" t="s">
        <v>224</v>
      </c>
      <c r="C1140" s="87">
        <v>45000</v>
      </c>
      <c r="D1140" s="82">
        <f>C1139*1.05</f>
        <v>0</v>
      </c>
      <c r="E1140" s="82">
        <f t="shared" si="43"/>
        <v>0</v>
      </c>
    </row>
    <row r="1141" spans="1:5" ht="15.65" x14ac:dyDescent="0.3">
      <c r="A1141" s="83" t="s">
        <v>225</v>
      </c>
      <c r="B1141" s="83" t="s">
        <v>263</v>
      </c>
      <c r="C1141" s="88">
        <v>0</v>
      </c>
      <c r="D1141" s="82">
        <f>C1140*1.05</f>
        <v>47250</v>
      </c>
      <c r="E1141" s="82">
        <f t="shared" si="43"/>
        <v>49612.5</v>
      </c>
    </row>
    <row r="1142" spans="1:5" ht="15.65" x14ac:dyDescent="0.3">
      <c r="A1142" s="80" t="s">
        <v>227</v>
      </c>
      <c r="B1142" s="80" t="s">
        <v>56</v>
      </c>
      <c r="C1142" s="85">
        <f>C1143+C1144+C1145</f>
        <v>496800</v>
      </c>
      <c r="D1142" s="82"/>
      <c r="E1142" s="82"/>
    </row>
    <row r="1143" spans="1:5" ht="31.25" x14ac:dyDescent="0.3">
      <c r="A1143" s="83" t="s">
        <v>138</v>
      </c>
      <c r="B1143" s="83" t="s">
        <v>228</v>
      </c>
      <c r="C1143" s="87">
        <v>300000</v>
      </c>
      <c r="D1143" s="82">
        <f t="shared" si="43"/>
        <v>315000</v>
      </c>
      <c r="E1143" s="82">
        <f t="shared" si="43"/>
        <v>330750</v>
      </c>
    </row>
    <row r="1144" spans="1:5" ht="15.65" x14ac:dyDescent="0.3">
      <c r="A1144" s="83" t="s">
        <v>229</v>
      </c>
      <c r="B1144" s="83" t="s">
        <v>58</v>
      </c>
      <c r="C1144" s="87">
        <v>76800</v>
      </c>
      <c r="D1144" s="82">
        <f t="shared" si="43"/>
        <v>80640</v>
      </c>
      <c r="E1144" s="82">
        <f t="shared" si="43"/>
        <v>84672</v>
      </c>
    </row>
    <row r="1145" spans="1:5" ht="15.65" x14ac:dyDescent="0.3">
      <c r="A1145" s="83" t="s">
        <v>140</v>
      </c>
      <c r="B1145" s="83" t="s">
        <v>230</v>
      </c>
      <c r="C1145" s="87">
        <v>120000</v>
      </c>
      <c r="D1145" s="82">
        <f t="shared" si="43"/>
        <v>126000</v>
      </c>
      <c r="E1145" s="82">
        <f t="shared" si="43"/>
        <v>132300</v>
      </c>
    </row>
    <row r="1146" spans="1:5" ht="15.65" x14ac:dyDescent="0.3">
      <c r="A1146" s="80" t="s">
        <v>231</v>
      </c>
      <c r="B1146" s="80" t="s">
        <v>60</v>
      </c>
      <c r="C1146" s="85">
        <f>C1147+C1148</f>
        <v>1118000</v>
      </c>
      <c r="D1146" s="82">
        <f t="shared" si="43"/>
        <v>1173900</v>
      </c>
      <c r="E1146" s="82">
        <f t="shared" si="43"/>
        <v>1232595</v>
      </c>
    </row>
    <row r="1147" spans="1:5" ht="15.65" x14ac:dyDescent="0.3">
      <c r="A1147" s="83" t="s">
        <v>142</v>
      </c>
      <c r="B1147" s="83" t="s">
        <v>143</v>
      </c>
      <c r="C1147" s="87">
        <v>768000</v>
      </c>
      <c r="D1147" s="82">
        <f t="shared" si="43"/>
        <v>806400</v>
      </c>
      <c r="E1147" s="82">
        <f t="shared" si="43"/>
        <v>846720</v>
      </c>
    </row>
    <row r="1148" spans="1:5" x14ac:dyDescent="0.35">
      <c r="A1148" s="83" t="s">
        <v>232</v>
      </c>
      <c r="B1148" s="83" t="s">
        <v>264</v>
      </c>
      <c r="C1148" s="87">
        <v>350000</v>
      </c>
      <c r="D1148" s="82">
        <f t="shared" si="43"/>
        <v>367500</v>
      </c>
      <c r="E1148" s="82">
        <f t="shared" si="43"/>
        <v>385875</v>
      </c>
    </row>
    <row r="1149" spans="1:5" ht="15.65" x14ac:dyDescent="0.3">
      <c r="A1149" s="80" t="s">
        <v>234</v>
      </c>
      <c r="B1149" s="80" t="s">
        <v>62</v>
      </c>
      <c r="C1149" s="85">
        <f>C1150+C1151+C1152+C1153+C1154</f>
        <v>218000</v>
      </c>
      <c r="D1149" s="82">
        <f t="shared" si="43"/>
        <v>228900</v>
      </c>
      <c r="E1149" s="82">
        <f t="shared" si="43"/>
        <v>240345</v>
      </c>
    </row>
    <row r="1150" spans="1:5" ht="15.65" x14ac:dyDescent="0.3">
      <c r="A1150" s="83" t="s">
        <v>265</v>
      </c>
      <c r="B1150" s="83" t="s">
        <v>266</v>
      </c>
      <c r="C1150" s="87">
        <v>18000</v>
      </c>
      <c r="D1150" s="82">
        <f t="shared" si="43"/>
        <v>18900</v>
      </c>
      <c r="E1150" s="82">
        <f t="shared" si="43"/>
        <v>19845</v>
      </c>
    </row>
    <row r="1151" spans="1:5" ht="15.65" x14ac:dyDescent="0.3">
      <c r="A1151" s="83" t="s">
        <v>235</v>
      </c>
      <c r="B1151" s="83" t="s">
        <v>267</v>
      </c>
      <c r="C1151" s="87">
        <v>200000</v>
      </c>
      <c r="D1151" s="82">
        <f t="shared" si="43"/>
        <v>210000</v>
      </c>
      <c r="E1151" s="82">
        <f t="shared" si="43"/>
        <v>220500</v>
      </c>
    </row>
    <row r="1152" spans="1:5" ht="15.65" x14ac:dyDescent="0.3">
      <c r="A1152" s="83" t="s">
        <v>144</v>
      </c>
      <c r="B1152" s="83" t="s">
        <v>64</v>
      </c>
      <c r="C1152" s="88"/>
      <c r="D1152" s="82">
        <f t="shared" si="43"/>
        <v>0</v>
      </c>
      <c r="E1152" s="82">
        <f t="shared" si="43"/>
        <v>0</v>
      </c>
    </row>
    <row r="1153" spans="1:5" ht="31.25" x14ac:dyDescent="0.3">
      <c r="A1153" s="83" t="s">
        <v>145</v>
      </c>
      <c r="B1153" s="83" t="s">
        <v>65</v>
      </c>
      <c r="C1153" s="88">
        <v>0</v>
      </c>
      <c r="D1153" s="82">
        <f t="shared" si="43"/>
        <v>0</v>
      </c>
      <c r="E1153" s="82">
        <f t="shared" si="43"/>
        <v>0</v>
      </c>
    </row>
    <row r="1154" spans="1:5" ht="15.65" x14ac:dyDescent="0.3">
      <c r="A1154" s="83" t="s">
        <v>286</v>
      </c>
      <c r="B1154" s="83" t="s">
        <v>69</v>
      </c>
      <c r="C1154" s="88">
        <v>0</v>
      </c>
      <c r="D1154" s="82">
        <f t="shared" si="43"/>
        <v>0</v>
      </c>
      <c r="E1154" s="82">
        <f t="shared" si="43"/>
        <v>0</v>
      </c>
    </row>
    <row r="1155" spans="1:5" ht="31.25" x14ac:dyDescent="0.3">
      <c r="A1155" s="80" t="s">
        <v>237</v>
      </c>
      <c r="B1155" s="80" t="s">
        <v>71</v>
      </c>
      <c r="C1155" s="91">
        <f>C1156</f>
        <v>340000</v>
      </c>
      <c r="D1155" s="82">
        <f t="shared" si="43"/>
        <v>357000</v>
      </c>
      <c r="E1155" s="82">
        <f t="shared" si="43"/>
        <v>374850</v>
      </c>
    </row>
    <row r="1156" spans="1:5" ht="15.65" x14ac:dyDescent="0.3">
      <c r="A1156" s="83" t="s">
        <v>148</v>
      </c>
      <c r="B1156" s="83" t="s">
        <v>72</v>
      </c>
      <c r="C1156" s="87">
        <v>340000</v>
      </c>
      <c r="D1156" s="82">
        <f t="shared" si="43"/>
        <v>357000</v>
      </c>
      <c r="E1156" s="82">
        <f t="shared" si="43"/>
        <v>374850</v>
      </c>
    </row>
    <row r="1157" spans="1:5" ht="15.65" x14ac:dyDescent="0.3">
      <c r="A1157" s="80" t="s">
        <v>238</v>
      </c>
      <c r="B1157" s="80" t="s">
        <v>73</v>
      </c>
      <c r="C1157" s="85">
        <f>C1158+C1159+C1160+C1161+C1162</f>
        <v>740000</v>
      </c>
      <c r="D1157" s="82">
        <f t="shared" si="43"/>
        <v>777000</v>
      </c>
      <c r="E1157" s="82">
        <f t="shared" si="43"/>
        <v>815850</v>
      </c>
    </row>
    <row r="1158" spans="1:5" ht="31.25" x14ac:dyDescent="0.3">
      <c r="A1158" s="83" t="s">
        <v>269</v>
      </c>
      <c r="B1158" s="83" t="s">
        <v>74</v>
      </c>
      <c r="C1158" s="87">
        <v>50000</v>
      </c>
      <c r="D1158" s="82">
        <f t="shared" si="43"/>
        <v>52500</v>
      </c>
      <c r="E1158" s="82">
        <f t="shared" si="43"/>
        <v>55125</v>
      </c>
    </row>
    <row r="1159" spans="1:5" ht="15.65" x14ac:dyDescent="0.3">
      <c r="A1159" s="83" t="s">
        <v>270</v>
      </c>
      <c r="B1159" s="83" t="s">
        <v>75</v>
      </c>
      <c r="C1159" s="87">
        <v>20000</v>
      </c>
      <c r="D1159" s="82">
        <f t="shared" si="43"/>
        <v>21000</v>
      </c>
      <c r="E1159" s="82">
        <f t="shared" si="43"/>
        <v>22050</v>
      </c>
    </row>
    <row r="1160" spans="1:5" ht="15.65" x14ac:dyDescent="0.3">
      <c r="A1160" s="83" t="s">
        <v>239</v>
      </c>
      <c r="B1160" s="83" t="s">
        <v>240</v>
      </c>
      <c r="C1160" s="87">
        <v>50000</v>
      </c>
      <c r="D1160" s="82">
        <f t="shared" si="43"/>
        <v>52500</v>
      </c>
      <c r="E1160" s="82">
        <f t="shared" si="43"/>
        <v>55125</v>
      </c>
    </row>
    <row r="1161" spans="1:5" ht="15.65" x14ac:dyDescent="0.3">
      <c r="A1161" s="83" t="s">
        <v>241</v>
      </c>
      <c r="B1161" s="83" t="s">
        <v>76</v>
      </c>
      <c r="C1161" s="87">
        <v>570000</v>
      </c>
      <c r="D1161" s="82">
        <f t="shared" si="43"/>
        <v>598500</v>
      </c>
      <c r="E1161" s="82">
        <f t="shared" si="43"/>
        <v>628425</v>
      </c>
    </row>
    <row r="1162" spans="1:5" ht="15.65" x14ac:dyDescent="0.3">
      <c r="A1162" s="83" t="s">
        <v>242</v>
      </c>
      <c r="B1162" s="83" t="s">
        <v>77</v>
      </c>
      <c r="C1162" s="87">
        <v>50000</v>
      </c>
      <c r="D1162" s="82">
        <f t="shared" si="43"/>
        <v>52500</v>
      </c>
      <c r="E1162" s="82">
        <f t="shared" si="43"/>
        <v>55125</v>
      </c>
    </row>
    <row r="1163" spans="1:5" ht="15.65" x14ac:dyDescent="0.3">
      <c r="A1163" s="83"/>
      <c r="B1163" s="83"/>
      <c r="C1163" s="12"/>
      <c r="D1163" s="82"/>
      <c r="E1163" s="82"/>
    </row>
    <row r="1164" spans="1:5" ht="15.65" x14ac:dyDescent="0.3">
      <c r="A1164" s="80">
        <v>3110900</v>
      </c>
      <c r="B1164" s="80" t="s">
        <v>271</v>
      </c>
      <c r="C1164" s="85">
        <f>C1165</f>
        <v>70000</v>
      </c>
      <c r="D1164" s="82">
        <f>C1165*1.05</f>
        <v>73500</v>
      </c>
      <c r="E1164" s="82">
        <f t="shared" si="43"/>
        <v>77175</v>
      </c>
    </row>
    <row r="1165" spans="1:5" ht="15.65" x14ac:dyDescent="0.3">
      <c r="A1165" s="83" t="s">
        <v>272</v>
      </c>
      <c r="B1165" s="83" t="s">
        <v>273</v>
      </c>
      <c r="C1165" s="87">
        <v>70000</v>
      </c>
      <c r="D1165" s="82">
        <f>C1166*1.05</f>
        <v>271689.60000000003</v>
      </c>
      <c r="E1165" s="82">
        <f t="shared" si="43"/>
        <v>285274.08000000007</v>
      </c>
    </row>
    <row r="1166" spans="1:5" ht="15.65" x14ac:dyDescent="0.3">
      <c r="A1166" s="80" t="s">
        <v>274</v>
      </c>
      <c r="B1166" s="80" t="s">
        <v>82</v>
      </c>
      <c r="C1166" s="92">
        <f>C1167+C1168</f>
        <v>258752</v>
      </c>
      <c r="D1166" s="82">
        <f>C1167*1.05</f>
        <v>143799.6</v>
      </c>
      <c r="E1166" s="82">
        <f t="shared" si="43"/>
        <v>150989.58000000002</v>
      </c>
    </row>
    <row r="1167" spans="1:5" ht="15.65" x14ac:dyDescent="0.3">
      <c r="A1167" s="83" t="s">
        <v>153</v>
      </c>
      <c r="B1167" s="83" t="s">
        <v>83</v>
      </c>
      <c r="C1167" s="87">
        <v>136952</v>
      </c>
      <c r="D1167" s="82">
        <f>C1168*1.05</f>
        <v>127890</v>
      </c>
      <c r="E1167" s="82">
        <f t="shared" ref="D1167:E1175" si="44">D1167*1.05</f>
        <v>134284.5</v>
      </c>
    </row>
    <row r="1168" spans="1:5" ht="15.65" x14ac:dyDescent="0.3">
      <c r="A1168" s="83" t="s">
        <v>275</v>
      </c>
      <c r="B1168" s="83" t="s">
        <v>84</v>
      </c>
      <c r="C1168" s="87">
        <v>121800</v>
      </c>
      <c r="D1168" s="93">
        <f>C1168*1.05</f>
        <v>127890</v>
      </c>
      <c r="E1168" s="93">
        <f t="shared" si="44"/>
        <v>134284.5</v>
      </c>
    </row>
    <row r="1169" spans="1:5" ht="15.65" x14ac:dyDescent="0.3">
      <c r="A1169" s="83" t="s">
        <v>276</v>
      </c>
      <c r="B1169" s="12" t="s">
        <v>750</v>
      </c>
      <c r="C1169" s="87">
        <v>0</v>
      </c>
      <c r="D1169" s="82">
        <v>0</v>
      </c>
      <c r="E1169" s="82">
        <f t="shared" si="44"/>
        <v>0</v>
      </c>
    </row>
    <row r="1170" spans="1:5" ht="15.65" x14ac:dyDescent="0.3">
      <c r="A1170" s="12">
        <v>3110701</v>
      </c>
      <c r="B1170" s="83" t="s">
        <v>277</v>
      </c>
      <c r="C1170" s="87">
        <v>0</v>
      </c>
      <c r="D1170" s="93">
        <f t="shared" si="44"/>
        <v>0</v>
      </c>
      <c r="E1170" s="93">
        <f t="shared" si="44"/>
        <v>0</v>
      </c>
    </row>
    <row r="1171" spans="1:5" ht="15.65" x14ac:dyDescent="0.3">
      <c r="A1171" s="80" t="s">
        <v>278</v>
      </c>
      <c r="B1171" s="80" t="s">
        <v>279</v>
      </c>
      <c r="C1171" s="384">
        <f>C1172+C1173</f>
        <v>0</v>
      </c>
      <c r="D1171" s="82">
        <f t="shared" si="44"/>
        <v>0</v>
      </c>
      <c r="E1171" s="82">
        <f t="shared" si="44"/>
        <v>0</v>
      </c>
    </row>
    <row r="1172" spans="1:5" ht="15.65" x14ac:dyDescent="0.3">
      <c r="A1172" s="83" t="s">
        <v>280</v>
      </c>
      <c r="B1172" s="83" t="s">
        <v>281</v>
      </c>
      <c r="C1172" s="377">
        <v>0</v>
      </c>
      <c r="D1172" s="82">
        <f t="shared" si="44"/>
        <v>0</v>
      </c>
      <c r="E1172" s="82">
        <f t="shared" si="44"/>
        <v>0</v>
      </c>
    </row>
    <row r="1173" spans="1:5" ht="31.25" x14ac:dyDescent="0.3">
      <c r="A1173" s="83" t="s">
        <v>282</v>
      </c>
      <c r="B1173" s="83" t="s">
        <v>283</v>
      </c>
      <c r="C1173" s="377">
        <v>0</v>
      </c>
      <c r="D1173" s="82">
        <f t="shared" si="44"/>
        <v>0</v>
      </c>
      <c r="E1173" s="82">
        <f t="shared" si="44"/>
        <v>0</v>
      </c>
    </row>
    <row r="1174" spans="1:5" ht="15.65" x14ac:dyDescent="0.3">
      <c r="A1174" s="83">
        <v>3111403</v>
      </c>
      <c r="B1174" s="83" t="s">
        <v>284</v>
      </c>
      <c r="C1174" s="82"/>
      <c r="D1174" s="82">
        <f t="shared" si="44"/>
        <v>0</v>
      </c>
      <c r="E1174" s="82">
        <f t="shared" si="44"/>
        <v>0</v>
      </c>
    </row>
    <row r="1175" spans="1:5" ht="31.25" x14ac:dyDescent="0.3">
      <c r="A1175" s="83"/>
      <c r="B1175" s="80" t="s">
        <v>924</v>
      </c>
      <c r="C1175" s="78">
        <f>C1101+C1104+C1108+C1126+C1131+C1142+C1146+C1149+C1155+C1157+C1164+C1166</f>
        <v>7458307</v>
      </c>
      <c r="D1175" s="82">
        <f t="shared" si="44"/>
        <v>7831222.3500000006</v>
      </c>
      <c r="E1175" s="82">
        <f t="shared" si="44"/>
        <v>8222783.4675000012</v>
      </c>
    </row>
    <row r="1176" spans="1:5" ht="15.65" x14ac:dyDescent="0.3">
      <c r="A1176" s="339"/>
      <c r="B1176" s="76"/>
      <c r="C1176" s="397"/>
      <c r="D1176" s="397"/>
      <c r="E1176" s="397"/>
    </row>
    <row r="1177" spans="1:5" ht="15.65" x14ac:dyDescent="0.3">
      <c r="A1177" s="148"/>
      <c r="B1177" s="380" t="s">
        <v>897</v>
      </c>
      <c r="C1177" s="397"/>
      <c r="D1177" s="82"/>
      <c r="E1177" s="82"/>
    </row>
    <row r="1178" spans="1:5" ht="15.65" x14ac:dyDescent="0.3">
      <c r="A1178" s="339">
        <v>3110599</v>
      </c>
      <c r="B1178" s="393" t="s">
        <v>699</v>
      </c>
      <c r="C1178" s="397">
        <v>0</v>
      </c>
      <c r="D1178" s="397">
        <v>0</v>
      </c>
      <c r="E1178" s="397">
        <v>0</v>
      </c>
    </row>
    <row r="1179" spans="1:5" ht="15.65" x14ac:dyDescent="0.3">
      <c r="A1179" s="76">
        <v>3110504</v>
      </c>
      <c r="B1179" s="147" t="s">
        <v>583</v>
      </c>
      <c r="C1179" s="397">
        <v>0</v>
      </c>
      <c r="D1179" s="397">
        <v>0</v>
      </c>
      <c r="E1179" s="397">
        <v>0</v>
      </c>
    </row>
    <row r="1180" spans="1:5" ht="15.65" x14ac:dyDescent="0.3">
      <c r="A1180" s="347" t="s">
        <v>272</v>
      </c>
      <c r="B1180" s="357" t="s">
        <v>273</v>
      </c>
      <c r="C1180" s="397">
        <v>0</v>
      </c>
      <c r="D1180" s="397">
        <v>0</v>
      </c>
      <c r="E1180" s="397">
        <v>0</v>
      </c>
    </row>
    <row r="1181" spans="1:5" ht="15.65" x14ac:dyDescent="0.3">
      <c r="A1181" s="76">
        <v>2410104</v>
      </c>
      <c r="B1181" s="147" t="s">
        <v>751</v>
      </c>
      <c r="C1181" s="397">
        <v>0</v>
      </c>
      <c r="D1181" s="397">
        <v>0</v>
      </c>
      <c r="E1181" s="397">
        <v>0</v>
      </c>
    </row>
    <row r="1182" spans="1:5" ht="15.65" x14ac:dyDescent="0.3">
      <c r="A1182" s="339">
        <v>2410104</v>
      </c>
      <c r="B1182" s="339" t="s">
        <v>245</v>
      </c>
      <c r="C1182" s="397">
        <v>0</v>
      </c>
      <c r="D1182" s="397">
        <v>0</v>
      </c>
      <c r="E1182" s="397">
        <v>0</v>
      </c>
    </row>
    <row r="1183" spans="1:5" ht="31.25" x14ac:dyDescent="0.3">
      <c r="A1183" s="339"/>
      <c r="B1183" s="380" t="s">
        <v>925</v>
      </c>
      <c r="C1183" s="397">
        <f>C1178+C1179+C1180+C1181+C1182</f>
        <v>0</v>
      </c>
      <c r="D1183" s="397">
        <f t="shared" ref="D1183:E1183" si="45">D1178+D1179+D1180+D1181+D1182</f>
        <v>0</v>
      </c>
      <c r="E1183" s="397">
        <f t="shared" si="45"/>
        <v>0</v>
      </c>
    </row>
    <row r="1184" spans="1:5" ht="46.75" x14ac:dyDescent="0.3">
      <c r="A1184" s="339"/>
      <c r="B1184" s="380" t="s">
        <v>926</v>
      </c>
      <c r="C1184" s="397">
        <f>C1175+C1183</f>
        <v>7458307</v>
      </c>
      <c r="D1184" s="397">
        <f t="shared" ref="D1184:E1184" si="46">D1175+D1183</f>
        <v>7831222.3500000006</v>
      </c>
      <c r="E1184" s="397">
        <f t="shared" si="46"/>
        <v>8222783.4675000012</v>
      </c>
    </row>
    <row r="1185" spans="1:5" ht="15.65" x14ac:dyDescent="0.3">
      <c r="A1185" s="339"/>
      <c r="B1185" s="398"/>
      <c r="C1185" s="397"/>
      <c r="D1185" s="82"/>
      <c r="E1185" s="82"/>
    </row>
    <row r="1186" spans="1:5" ht="15.65" x14ac:dyDescent="0.3">
      <c r="A1186" s="148"/>
      <c r="B1186" s="75" t="s">
        <v>927</v>
      </c>
      <c r="C1186" s="412">
        <f>C1184+C1085+C1006+C911+C815+C719+C632+C534+C438+C349+C253+C83</f>
        <v>1063647400.9425832</v>
      </c>
      <c r="D1186" s="412">
        <f t="shared" ref="D1186:E1186" si="47">D1184+D1085+D1006+D911+D815+D719+D632+D534+D438+D349+D253+D83</f>
        <v>1116829770.9897125</v>
      </c>
      <c r="E1186" s="412">
        <f t="shared" si="47"/>
        <v>1172671259.5391979</v>
      </c>
    </row>
    <row r="1188" spans="1:5" ht="31.25" x14ac:dyDescent="0.3">
      <c r="A1188" s="78"/>
      <c r="B1188" s="78" t="s">
        <v>928</v>
      </c>
      <c r="C1188" s="79" t="s">
        <v>184</v>
      </c>
      <c r="D1188" s="79" t="s">
        <v>746</v>
      </c>
      <c r="E1188" s="79" t="s">
        <v>791</v>
      </c>
    </row>
    <row r="1189" spans="1:5" ht="15.65" x14ac:dyDescent="0.3">
      <c r="A1189" s="78"/>
      <c r="B1189" s="78" t="s">
        <v>902</v>
      </c>
      <c r="C1189" s="79"/>
      <c r="D1189" s="79"/>
      <c r="E1189" s="79"/>
    </row>
    <row r="1190" spans="1:5" ht="15.65" x14ac:dyDescent="0.3">
      <c r="A1190" s="80" t="s">
        <v>185</v>
      </c>
      <c r="B1190" s="80" t="s">
        <v>186</v>
      </c>
      <c r="C1190" s="354">
        <f>C1191</f>
        <v>0</v>
      </c>
      <c r="D1190" s="82"/>
      <c r="E1190" s="82"/>
    </row>
    <row r="1191" spans="1:5" ht="15.65" x14ac:dyDescent="0.3">
      <c r="A1191" s="83" t="s">
        <v>98</v>
      </c>
      <c r="B1191" s="83" t="s">
        <v>99</v>
      </c>
      <c r="C1191" s="354">
        <v>0</v>
      </c>
      <c r="D1191" s="82"/>
      <c r="E1191" s="82"/>
    </row>
    <row r="1192" spans="1:5" ht="16.25" x14ac:dyDescent="0.3">
      <c r="A1192" s="80" t="s">
        <v>3</v>
      </c>
      <c r="B1192" s="80" t="s">
        <v>4</v>
      </c>
      <c r="C1192" s="363">
        <f>C1193</f>
        <v>0</v>
      </c>
      <c r="D1192" s="82"/>
      <c r="E1192" s="82"/>
    </row>
    <row r="1193" spans="1:5" ht="15.65" x14ac:dyDescent="0.3">
      <c r="A1193" s="83" t="s">
        <v>5</v>
      </c>
      <c r="B1193" s="83" t="s">
        <v>6</v>
      </c>
      <c r="C1193" s="354">
        <v>0</v>
      </c>
      <c r="D1193" s="82"/>
      <c r="E1193" s="82"/>
    </row>
    <row r="1194" spans="1:5" ht="15.65" x14ac:dyDescent="0.3">
      <c r="A1194" s="80" t="s">
        <v>289</v>
      </c>
      <c r="B1194" s="80" t="s">
        <v>290</v>
      </c>
      <c r="C1194" s="354">
        <f>C1195+C1196</f>
        <v>0</v>
      </c>
      <c r="D1194" s="82"/>
      <c r="E1194" s="82"/>
    </row>
    <row r="1195" spans="1:5" ht="15.65" x14ac:dyDescent="0.3">
      <c r="A1195" s="83" t="s">
        <v>291</v>
      </c>
      <c r="B1195" s="83" t="s">
        <v>10</v>
      </c>
      <c r="C1195" s="354">
        <v>0</v>
      </c>
      <c r="D1195" s="82"/>
      <c r="E1195" s="82"/>
    </row>
    <row r="1196" spans="1:5" ht="15.65" x14ac:dyDescent="0.3">
      <c r="A1196" s="83" t="s">
        <v>292</v>
      </c>
      <c r="B1196" s="83" t="s">
        <v>293</v>
      </c>
      <c r="C1196" s="354">
        <v>0</v>
      </c>
      <c r="D1196" s="82"/>
      <c r="E1196" s="82"/>
    </row>
    <row r="1197" spans="1:5" ht="15.65" x14ac:dyDescent="0.3">
      <c r="A1197" s="80" t="s">
        <v>294</v>
      </c>
      <c r="B1197" s="80" t="s">
        <v>295</v>
      </c>
      <c r="C1197" s="354">
        <v>0</v>
      </c>
      <c r="D1197" s="82"/>
      <c r="E1197" s="82"/>
    </row>
    <row r="1198" spans="1:5" ht="16.25" x14ac:dyDescent="0.3">
      <c r="A1198" s="80">
        <v>2410104</v>
      </c>
      <c r="B1198" s="84" t="s">
        <v>268</v>
      </c>
      <c r="C1198" s="363">
        <v>0</v>
      </c>
      <c r="D1198" s="82"/>
      <c r="E1198" s="82"/>
    </row>
    <row r="1199" spans="1:5" ht="15.65" x14ac:dyDescent="0.3">
      <c r="A1199" s="80" t="s">
        <v>192</v>
      </c>
      <c r="B1199" s="80" t="s">
        <v>23</v>
      </c>
      <c r="C1199" s="85">
        <f>C1200+C1201</f>
        <v>5200000</v>
      </c>
      <c r="D1199" s="86">
        <f t="shared" ref="D1199:E1264" si="48">C1199*1.05</f>
        <v>5460000</v>
      </c>
      <c r="E1199" s="86">
        <f t="shared" si="48"/>
        <v>5733000</v>
      </c>
    </row>
    <row r="1200" spans="1:5" ht="15.65" x14ac:dyDescent="0.3">
      <c r="A1200" s="83" t="s">
        <v>101</v>
      </c>
      <c r="B1200" s="83" t="s">
        <v>102</v>
      </c>
      <c r="C1200" s="409">
        <v>4000000</v>
      </c>
      <c r="D1200" s="82">
        <f t="shared" si="48"/>
        <v>4200000</v>
      </c>
      <c r="E1200" s="82">
        <f t="shared" si="48"/>
        <v>4410000</v>
      </c>
    </row>
    <row r="1201" spans="1:5" ht="15.65" x14ac:dyDescent="0.3">
      <c r="A1201" s="83" t="s">
        <v>103</v>
      </c>
      <c r="B1201" s="83" t="s">
        <v>104</v>
      </c>
      <c r="C1201" s="409">
        <v>1200000</v>
      </c>
      <c r="D1201" s="82">
        <f t="shared" si="48"/>
        <v>1260000</v>
      </c>
      <c r="E1201" s="82">
        <f t="shared" si="48"/>
        <v>1323000</v>
      </c>
    </row>
    <row r="1202" spans="1:5" ht="15.65" x14ac:dyDescent="0.3">
      <c r="A1202" s="80" t="s">
        <v>193</v>
      </c>
      <c r="B1202" s="80" t="s">
        <v>194</v>
      </c>
      <c r="C1202" s="85">
        <f>C1203+C1204+C1205</f>
        <v>1190384</v>
      </c>
      <c r="D1202" s="86">
        <f t="shared" si="48"/>
        <v>1249903.2</v>
      </c>
      <c r="E1202" s="86">
        <f t="shared" si="48"/>
        <v>1312398.3600000001</v>
      </c>
    </row>
    <row r="1203" spans="1:5" ht="15.65" x14ac:dyDescent="0.3">
      <c r="A1203" s="83">
        <v>2210201</v>
      </c>
      <c r="B1203" s="83" t="s">
        <v>106</v>
      </c>
      <c r="C1203" s="409">
        <v>950000</v>
      </c>
      <c r="D1203" s="82">
        <f t="shared" si="48"/>
        <v>997500</v>
      </c>
      <c r="E1203" s="82">
        <f t="shared" si="48"/>
        <v>1047375</v>
      </c>
    </row>
    <row r="1204" spans="1:5" ht="15.65" x14ac:dyDescent="0.3">
      <c r="A1204" s="83" t="s">
        <v>107</v>
      </c>
      <c r="B1204" s="83" t="s">
        <v>108</v>
      </c>
      <c r="C1204" s="409">
        <v>220384</v>
      </c>
      <c r="D1204" s="82">
        <f t="shared" si="48"/>
        <v>231403.2</v>
      </c>
      <c r="E1204" s="82">
        <f t="shared" si="48"/>
        <v>242973.36000000002</v>
      </c>
    </row>
    <row r="1205" spans="1:5" ht="15.65" x14ac:dyDescent="0.3">
      <c r="A1205" s="83" t="s">
        <v>109</v>
      </c>
      <c r="B1205" s="83" t="s">
        <v>29</v>
      </c>
      <c r="C1205" s="409">
        <v>20000</v>
      </c>
      <c r="D1205" s="82">
        <f t="shared" si="48"/>
        <v>21000</v>
      </c>
      <c r="E1205" s="82">
        <f t="shared" si="48"/>
        <v>22050</v>
      </c>
    </row>
    <row r="1206" spans="1:5" ht="31.25" x14ac:dyDescent="0.3">
      <c r="A1206" s="80" t="s">
        <v>195</v>
      </c>
      <c r="B1206" s="80" t="s">
        <v>30</v>
      </c>
      <c r="C1206" s="85">
        <f>C1207+C1208+C1209</f>
        <v>5800000</v>
      </c>
      <c r="D1206" s="366">
        <f t="shared" si="48"/>
        <v>6090000</v>
      </c>
      <c r="E1206" s="366">
        <f t="shared" si="48"/>
        <v>6394500</v>
      </c>
    </row>
    <row r="1207" spans="1:5" ht="31.25" x14ac:dyDescent="0.3">
      <c r="A1207" s="83" t="s">
        <v>110</v>
      </c>
      <c r="B1207" s="83" t="s">
        <v>111</v>
      </c>
      <c r="C1207" s="413">
        <v>4600000</v>
      </c>
      <c r="D1207" s="82">
        <f t="shared" si="48"/>
        <v>4830000</v>
      </c>
      <c r="E1207" s="82">
        <f t="shared" si="48"/>
        <v>5071500</v>
      </c>
    </row>
    <row r="1208" spans="1:5" ht="15.65" x14ac:dyDescent="0.3">
      <c r="A1208" s="83" t="s">
        <v>112</v>
      </c>
      <c r="B1208" s="83" t="s">
        <v>113</v>
      </c>
      <c r="C1208" s="409"/>
      <c r="D1208" s="82">
        <f t="shared" si="48"/>
        <v>0</v>
      </c>
      <c r="E1208" s="82">
        <f t="shared" si="48"/>
        <v>0</v>
      </c>
    </row>
    <row r="1209" spans="1:5" ht="15.65" x14ac:dyDescent="0.3">
      <c r="A1209" s="83" t="s">
        <v>114</v>
      </c>
      <c r="B1209" s="83" t="s">
        <v>115</v>
      </c>
      <c r="C1209" s="409">
        <v>1200000</v>
      </c>
      <c r="D1209" s="82">
        <f t="shared" si="48"/>
        <v>1260000</v>
      </c>
      <c r="E1209" s="82">
        <f t="shared" si="48"/>
        <v>1323000</v>
      </c>
    </row>
    <row r="1210" spans="1:5" ht="31.25" x14ac:dyDescent="0.3">
      <c r="A1210" s="80" t="s">
        <v>117</v>
      </c>
      <c r="B1210" s="80" t="s">
        <v>118</v>
      </c>
      <c r="C1210" s="85">
        <v>0</v>
      </c>
      <c r="D1210" s="82">
        <f t="shared" si="48"/>
        <v>0</v>
      </c>
      <c r="E1210" s="82">
        <f t="shared" si="48"/>
        <v>0</v>
      </c>
    </row>
    <row r="1211" spans="1:5" ht="15.65" x14ac:dyDescent="0.3">
      <c r="A1211" s="83" t="s">
        <v>119</v>
      </c>
      <c r="B1211" s="83" t="s">
        <v>120</v>
      </c>
      <c r="C1211" s="88">
        <v>0</v>
      </c>
      <c r="D1211" s="82">
        <f t="shared" si="48"/>
        <v>0</v>
      </c>
      <c r="E1211" s="82">
        <f t="shared" si="48"/>
        <v>0</v>
      </c>
    </row>
    <row r="1212" spans="1:5" ht="15.65" x14ac:dyDescent="0.3">
      <c r="A1212" s="83" t="s">
        <v>197</v>
      </c>
      <c r="B1212" s="83" t="s">
        <v>198</v>
      </c>
      <c r="C1212" s="88">
        <v>0</v>
      </c>
      <c r="D1212" s="82">
        <f t="shared" si="48"/>
        <v>0</v>
      </c>
      <c r="E1212" s="82">
        <f t="shared" si="48"/>
        <v>0</v>
      </c>
    </row>
    <row r="1213" spans="1:5" ht="15.65" x14ac:dyDescent="0.3">
      <c r="A1213" s="83" t="s">
        <v>121</v>
      </c>
      <c r="B1213" s="83" t="s">
        <v>115</v>
      </c>
      <c r="C1213" s="88">
        <v>0</v>
      </c>
      <c r="D1213" s="82">
        <f t="shared" si="48"/>
        <v>0</v>
      </c>
      <c r="E1213" s="82">
        <f t="shared" si="48"/>
        <v>0</v>
      </c>
    </row>
    <row r="1214" spans="1:5" ht="31.25" x14ac:dyDescent="0.3">
      <c r="A1214" s="80" t="s">
        <v>199</v>
      </c>
      <c r="B1214" s="80" t="s">
        <v>38</v>
      </c>
      <c r="C1214" s="85">
        <f>C1215+C1216+C1217</f>
        <v>3000000</v>
      </c>
      <c r="D1214" s="82">
        <f t="shared" si="48"/>
        <v>3150000</v>
      </c>
      <c r="E1214" s="82">
        <f t="shared" si="48"/>
        <v>3307500</v>
      </c>
    </row>
    <row r="1215" spans="1:5" ht="15.65" x14ac:dyDescent="0.3">
      <c r="A1215" s="83" t="s">
        <v>200</v>
      </c>
      <c r="B1215" s="83" t="s">
        <v>201</v>
      </c>
      <c r="C1215" s="409">
        <v>3000000</v>
      </c>
      <c r="D1215" s="82">
        <f t="shared" si="48"/>
        <v>3150000</v>
      </c>
      <c r="E1215" s="82">
        <f t="shared" si="48"/>
        <v>3307500</v>
      </c>
    </row>
    <row r="1216" spans="1:5" ht="15.65" x14ac:dyDescent="0.3">
      <c r="A1216" s="83" t="s">
        <v>122</v>
      </c>
      <c r="B1216" s="83" t="s">
        <v>123</v>
      </c>
      <c r="C1216" s="409">
        <v>0</v>
      </c>
      <c r="D1216" s="82">
        <f t="shared" si="48"/>
        <v>0</v>
      </c>
      <c r="E1216" s="82">
        <f t="shared" si="48"/>
        <v>0</v>
      </c>
    </row>
    <row r="1217" spans="1:5" ht="15.65" x14ac:dyDescent="0.3">
      <c r="A1217" s="83" t="s">
        <v>124</v>
      </c>
      <c r="B1217" s="83" t="s">
        <v>125</v>
      </c>
      <c r="C1217" s="409">
        <v>0</v>
      </c>
      <c r="D1217" s="82">
        <f t="shared" si="48"/>
        <v>0</v>
      </c>
      <c r="E1217" s="82">
        <f t="shared" si="48"/>
        <v>0</v>
      </c>
    </row>
    <row r="1218" spans="1:5" ht="15.65" x14ac:dyDescent="0.3">
      <c r="A1218" s="83" t="s">
        <v>202</v>
      </c>
      <c r="B1218" s="83" t="s">
        <v>41</v>
      </c>
      <c r="C1218" s="82"/>
      <c r="D1218" s="82">
        <f t="shared" si="48"/>
        <v>0</v>
      </c>
      <c r="E1218" s="82">
        <f t="shared" si="48"/>
        <v>0</v>
      </c>
    </row>
    <row r="1219" spans="1:5" ht="15.65" x14ac:dyDescent="0.3">
      <c r="A1219" s="80" t="s">
        <v>259</v>
      </c>
      <c r="B1219" s="80" t="s">
        <v>42</v>
      </c>
      <c r="C1219" s="88">
        <f>C1220</f>
        <v>0</v>
      </c>
      <c r="D1219" s="82">
        <f t="shared" si="48"/>
        <v>0</v>
      </c>
      <c r="E1219" s="82">
        <f t="shared" si="48"/>
        <v>0</v>
      </c>
    </row>
    <row r="1220" spans="1:5" ht="15.65" x14ac:dyDescent="0.3">
      <c r="A1220" s="83" t="s">
        <v>260</v>
      </c>
      <c r="B1220" s="83" t="s">
        <v>43</v>
      </c>
      <c r="C1220" s="88">
        <v>0</v>
      </c>
      <c r="D1220" s="82">
        <f t="shared" si="48"/>
        <v>0</v>
      </c>
      <c r="E1220" s="82">
        <f t="shared" si="48"/>
        <v>0</v>
      </c>
    </row>
    <row r="1221" spans="1:5" ht="15.65" x14ac:dyDescent="0.3">
      <c r="A1221" s="80" t="s">
        <v>203</v>
      </c>
      <c r="B1221" s="80" t="s">
        <v>45</v>
      </c>
      <c r="C1221" s="85">
        <f>C1222+C1223</f>
        <v>0</v>
      </c>
      <c r="D1221" s="82">
        <f t="shared" si="48"/>
        <v>0</v>
      </c>
      <c r="E1221" s="82">
        <f t="shared" si="48"/>
        <v>0</v>
      </c>
    </row>
    <row r="1222" spans="1:5" ht="15.65" x14ac:dyDescent="0.3">
      <c r="A1222" s="83" t="s">
        <v>127</v>
      </c>
      <c r="B1222" s="83" t="s">
        <v>128</v>
      </c>
      <c r="C1222" s="88"/>
      <c r="D1222" s="82">
        <f t="shared" si="48"/>
        <v>0</v>
      </c>
      <c r="E1222" s="82">
        <f t="shared" si="48"/>
        <v>0</v>
      </c>
    </row>
    <row r="1223" spans="1:5" ht="15.65" x14ac:dyDescent="0.3">
      <c r="A1223" s="83" t="s">
        <v>129</v>
      </c>
      <c r="B1223" s="83" t="s">
        <v>130</v>
      </c>
      <c r="C1223" s="88"/>
      <c r="D1223" s="82">
        <f t="shared" si="48"/>
        <v>0</v>
      </c>
      <c r="E1223" s="82">
        <f t="shared" si="48"/>
        <v>0</v>
      </c>
    </row>
    <row r="1224" spans="1:5" ht="15.65" x14ac:dyDescent="0.3">
      <c r="A1224" s="80" t="s">
        <v>205</v>
      </c>
      <c r="B1224" s="80" t="s">
        <v>48</v>
      </c>
      <c r="C1224" s="85">
        <f>C1225+C1226</f>
        <v>6300000</v>
      </c>
      <c r="D1224" s="86">
        <f t="shared" si="48"/>
        <v>6615000</v>
      </c>
      <c r="E1224" s="86">
        <f t="shared" si="48"/>
        <v>6945750</v>
      </c>
    </row>
    <row r="1225" spans="1:5" ht="31.25" x14ac:dyDescent="0.3">
      <c r="A1225" s="83" t="s">
        <v>131</v>
      </c>
      <c r="B1225" s="83" t="s">
        <v>206</v>
      </c>
      <c r="C1225" s="409">
        <v>3500000</v>
      </c>
      <c r="D1225" s="82">
        <f t="shared" si="48"/>
        <v>3675000</v>
      </c>
      <c r="E1225" s="82">
        <f t="shared" si="48"/>
        <v>3858750</v>
      </c>
    </row>
    <row r="1226" spans="1:5" ht="15.65" x14ac:dyDescent="0.3">
      <c r="A1226" s="83" t="s">
        <v>133</v>
      </c>
      <c r="B1226" s="83" t="s">
        <v>207</v>
      </c>
      <c r="C1226" s="409">
        <v>2800000</v>
      </c>
      <c r="D1226" s="82">
        <f t="shared" si="48"/>
        <v>2940000</v>
      </c>
      <c r="E1226" s="82">
        <f t="shared" si="48"/>
        <v>3087000</v>
      </c>
    </row>
    <row r="1227" spans="1:5" ht="15.65" x14ac:dyDescent="0.3">
      <c r="A1227" s="80" t="s">
        <v>208</v>
      </c>
      <c r="B1227" s="80" t="s">
        <v>209</v>
      </c>
      <c r="C1227" s="82"/>
      <c r="D1227" s="82">
        <f t="shared" si="48"/>
        <v>0</v>
      </c>
      <c r="E1227" s="82">
        <f t="shared" si="48"/>
        <v>0</v>
      </c>
    </row>
    <row r="1228" spans="1:5" ht="15.65" x14ac:dyDescent="0.3">
      <c r="A1228" s="83" t="s">
        <v>210</v>
      </c>
      <c r="B1228" s="83" t="s">
        <v>66</v>
      </c>
      <c r="C1228" s="82"/>
      <c r="D1228" s="82">
        <f t="shared" si="48"/>
        <v>0</v>
      </c>
      <c r="E1228" s="82">
        <f t="shared" si="48"/>
        <v>0</v>
      </c>
    </row>
    <row r="1229" spans="1:5" ht="15.65" x14ac:dyDescent="0.3">
      <c r="A1229" s="80" t="s">
        <v>211</v>
      </c>
      <c r="B1229" s="80" t="s">
        <v>51</v>
      </c>
      <c r="C1229" s="85">
        <f>C1230+C1231+C1232+C1233+C1234+C1235+C1236+C1237+C1238</f>
        <v>69096000</v>
      </c>
      <c r="D1229" s="86">
        <f t="shared" si="48"/>
        <v>72550800</v>
      </c>
      <c r="E1229" s="86">
        <f t="shared" si="48"/>
        <v>76178340</v>
      </c>
    </row>
    <row r="1230" spans="1:5" ht="15.65" x14ac:dyDescent="0.3">
      <c r="A1230" s="83" t="s">
        <v>212</v>
      </c>
      <c r="B1230" s="83" t="s">
        <v>213</v>
      </c>
      <c r="C1230" s="409">
        <v>20000000</v>
      </c>
      <c r="D1230" s="82">
        <f t="shared" si="48"/>
        <v>21000000</v>
      </c>
      <c r="E1230" s="82">
        <f t="shared" si="48"/>
        <v>22050000</v>
      </c>
    </row>
    <row r="1231" spans="1:5" ht="15.65" x14ac:dyDescent="0.3">
      <c r="A1231" s="83" t="s">
        <v>214</v>
      </c>
      <c r="B1231" s="83" t="s">
        <v>215</v>
      </c>
      <c r="C1231" s="409">
        <v>25000000</v>
      </c>
      <c r="D1231" s="82">
        <f t="shared" si="48"/>
        <v>26250000</v>
      </c>
      <c r="E1231" s="82">
        <f t="shared" si="48"/>
        <v>27562500</v>
      </c>
    </row>
    <row r="1232" spans="1:5" ht="15.65" x14ac:dyDescent="0.3">
      <c r="A1232" s="83" t="s">
        <v>216</v>
      </c>
      <c r="B1232" s="83" t="s">
        <v>217</v>
      </c>
      <c r="C1232" s="409">
        <v>6000000</v>
      </c>
      <c r="D1232" s="82">
        <f t="shared" si="48"/>
        <v>6300000</v>
      </c>
      <c r="E1232" s="82">
        <f t="shared" si="48"/>
        <v>6615000</v>
      </c>
    </row>
    <row r="1233" spans="1:5" ht="15.65" x14ac:dyDescent="0.3">
      <c r="A1233" s="83" t="s">
        <v>261</v>
      </c>
      <c r="B1233" s="83" t="s">
        <v>218</v>
      </c>
      <c r="C1233" s="409">
        <v>96000</v>
      </c>
      <c r="D1233" s="82">
        <f t="shared" si="48"/>
        <v>100800</v>
      </c>
      <c r="E1233" s="82">
        <f t="shared" si="48"/>
        <v>105840</v>
      </c>
    </row>
    <row r="1234" spans="1:5" ht="15.65" x14ac:dyDescent="0.3">
      <c r="A1234" s="83" t="s">
        <v>219</v>
      </c>
      <c r="B1234" s="83" t="s">
        <v>220</v>
      </c>
      <c r="C1234" s="409">
        <v>15000000</v>
      </c>
      <c r="D1234" s="86">
        <f t="shared" si="48"/>
        <v>15750000</v>
      </c>
      <c r="E1234" s="86">
        <f t="shared" si="48"/>
        <v>16537500</v>
      </c>
    </row>
    <row r="1235" spans="1:5" ht="15.65" x14ac:dyDescent="0.3">
      <c r="A1235" s="83" t="s">
        <v>221</v>
      </c>
      <c r="B1235" s="83" t="s">
        <v>222</v>
      </c>
      <c r="C1235" s="409">
        <v>0</v>
      </c>
      <c r="D1235" s="82">
        <f t="shared" si="48"/>
        <v>0</v>
      </c>
      <c r="E1235" s="82">
        <f t="shared" si="48"/>
        <v>0</v>
      </c>
    </row>
    <row r="1236" spans="1:5" ht="15.65" x14ac:dyDescent="0.3">
      <c r="A1236" s="83" t="s">
        <v>262</v>
      </c>
      <c r="B1236" s="83" t="s">
        <v>55</v>
      </c>
      <c r="C1236" s="409">
        <v>3000000</v>
      </c>
      <c r="D1236" s="82">
        <f t="shared" si="48"/>
        <v>3150000</v>
      </c>
      <c r="E1236" s="82">
        <f t="shared" si="48"/>
        <v>3307500</v>
      </c>
    </row>
    <row r="1237" spans="1:5" ht="15.65" x14ac:dyDescent="0.3">
      <c r="A1237" s="89">
        <v>2211019</v>
      </c>
      <c r="B1237" s="90" t="s">
        <v>251</v>
      </c>
      <c r="C1237" s="12">
        <v>0</v>
      </c>
      <c r="D1237" s="82">
        <f>C1238*1.05</f>
        <v>0</v>
      </c>
      <c r="E1237" s="82">
        <f t="shared" si="48"/>
        <v>0</v>
      </c>
    </row>
    <row r="1238" spans="1:5" ht="15.65" x14ac:dyDescent="0.3">
      <c r="A1238" s="83" t="s">
        <v>223</v>
      </c>
      <c r="B1238" s="83" t="s">
        <v>224</v>
      </c>
      <c r="C1238" s="409">
        <v>0</v>
      </c>
      <c r="D1238" s="82">
        <v>0</v>
      </c>
      <c r="E1238" s="82">
        <f t="shared" si="48"/>
        <v>0</v>
      </c>
    </row>
    <row r="1239" spans="1:5" ht="15.65" x14ac:dyDescent="0.3">
      <c r="A1239" s="83" t="s">
        <v>225</v>
      </c>
      <c r="B1239" s="83" t="s">
        <v>263</v>
      </c>
      <c r="C1239" s="413"/>
      <c r="D1239" s="82">
        <f t="shared" si="48"/>
        <v>0</v>
      </c>
      <c r="E1239" s="82">
        <f t="shared" si="48"/>
        <v>0</v>
      </c>
    </row>
    <row r="1240" spans="1:5" ht="15.65" x14ac:dyDescent="0.3">
      <c r="A1240" s="80" t="s">
        <v>227</v>
      </c>
      <c r="B1240" s="80" t="s">
        <v>56</v>
      </c>
      <c r="C1240" s="85">
        <f>C1241+C1242+C1243</f>
        <v>5400000</v>
      </c>
      <c r="D1240" s="86">
        <f t="shared" si="48"/>
        <v>5670000</v>
      </c>
      <c r="E1240" s="86">
        <f t="shared" si="48"/>
        <v>5953500</v>
      </c>
    </row>
    <row r="1241" spans="1:5" ht="31.25" x14ac:dyDescent="0.3">
      <c r="A1241" s="83" t="s">
        <v>138</v>
      </c>
      <c r="B1241" s="83" t="s">
        <v>228</v>
      </c>
      <c r="C1241" s="409">
        <v>1500000</v>
      </c>
      <c r="D1241" s="82">
        <f t="shared" si="48"/>
        <v>1575000</v>
      </c>
      <c r="E1241" s="82">
        <f t="shared" si="48"/>
        <v>1653750</v>
      </c>
    </row>
    <row r="1242" spans="1:5" ht="15.65" x14ac:dyDescent="0.3">
      <c r="A1242" s="83" t="s">
        <v>229</v>
      </c>
      <c r="B1242" s="83" t="s">
        <v>58</v>
      </c>
      <c r="C1242" s="409">
        <v>900000</v>
      </c>
      <c r="D1242" s="82">
        <f t="shared" si="48"/>
        <v>945000</v>
      </c>
      <c r="E1242" s="82">
        <f t="shared" si="48"/>
        <v>992250</v>
      </c>
    </row>
    <row r="1243" spans="1:5" ht="15.65" x14ac:dyDescent="0.3">
      <c r="A1243" s="83" t="s">
        <v>140</v>
      </c>
      <c r="B1243" s="83" t="s">
        <v>230</v>
      </c>
      <c r="C1243" s="409">
        <v>3000000</v>
      </c>
      <c r="D1243" s="82">
        <f t="shared" si="48"/>
        <v>3150000</v>
      </c>
      <c r="E1243" s="82">
        <f t="shared" si="48"/>
        <v>3307500</v>
      </c>
    </row>
    <row r="1244" spans="1:5" ht="15.65" x14ac:dyDescent="0.3">
      <c r="A1244" s="80" t="s">
        <v>231</v>
      </c>
      <c r="B1244" s="80" t="s">
        <v>60</v>
      </c>
      <c r="C1244" s="85">
        <f>C1245+C1246</f>
        <v>5000000</v>
      </c>
      <c r="D1244" s="86">
        <f t="shared" si="48"/>
        <v>5250000</v>
      </c>
      <c r="E1244" s="86">
        <f t="shared" si="48"/>
        <v>5512500</v>
      </c>
    </row>
    <row r="1245" spans="1:5" ht="15.65" x14ac:dyDescent="0.3">
      <c r="A1245" s="83" t="s">
        <v>142</v>
      </c>
      <c r="B1245" s="83" t="s">
        <v>143</v>
      </c>
      <c r="C1245" s="409">
        <v>4000000</v>
      </c>
      <c r="D1245" s="82">
        <f t="shared" si="48"/>
        <v>4200000</v>
      </c>
      <c r="E1245" s="82">
        <f t="shared" si="48"/>
        <v>4410000</v>
      </c>
    </row>
    <row r="1246" spans="1:5" x14ac:dyDescent="0.35">
      <c r="A1246" s="83" t="s">
        <v>232</v>
      </c>
      <c r="B1246" s="83" t="s">
        <v>264</v>
      </c>
      <c r="C1246" s="409">
        <v>1000000</v>
      </c>
      <c r="D1246" s="82">
        <f t="shared" si="48"/>
        <v>1050000</v>
      </c>
      <c r="E1246" s="82">
        <f t="shared" si="48"/>
        <v>1102500</v>
      </c>
    </row>
    <row r="1247" spans="1:5" ht="15.65" x14ac:dyDescent="0.3">
      <c r="A1247" s="80" t="s">
        <v>234</v>
      </c>
      <c r="B1247" s="80" t="s">
        <v>62</v>
      </c>
      <c r="C1247" s="85">
        <f>C1248+C1249+C1250+C1251+C1252</f>
        <v>2033616</v>
      </c>
      <c r="D1247" s="86">
        <f t="shared" si="48"/>
        <v>2135296.8000000003</v>
      </c>
      <c r="E1247" s="86">
        <f t="shared" si="48"/>
        <v>2242061.6400000006</v>
      </c>
    </row>
    <row r="1248" spans="1:5" ht="15.65" x14ac:dyDescent="0.3">
      <c r="A1248" s="83" t="s">
        <v>265</v>
      </c>
      <c r="B1248" s="83" t="s">
        <v>266</v>
      </c>
      <c r="C1248" s="409">
        <v>50616</v>
      </c>
      <c r="D1248" s="82">
        <f t="shared" si="48"/>
        <v>53146.8</v>
      </c>
      <c r="E1248" s="82">
        <f t="shared" si="48"/>
        <v>55804.140000000007</v>
      </c>
    </row>
    <row r="1249" spans="1:5" ht="15.65" x14ac:dyDescent="0.3">
      <c r="A1249" s="83" t="s">
        <v>235</v>
      </c>
      <c r="B1249" s="83" t="s">
        <v>267</v>
      </c>
      <c r="C1249" s="409">
        <v>1983000</v>
      </c>
      <c r="D1249" s="82">
        <f t="shared" si="48"/>
        <v>2082150</v>
      </c>
      <c r="E1249" s="82">
        <f t="shared" si="48"/>
        <v>2186257.5</v>
      </c>
    </row>
    <row r="1250" spans="1:5" ht="15.65" x14ac:dyDescent="0.3">
      <c r="A1250" s="83" t="s">
        <v>144</v>
      </c>
      <c r="B1250" s="83" t="s">
        <v>64</v>
      </c>
      <c r="C1250" s="88"/>
      <c r="D1250" s="82">
        <f t="shared" si="48"/>
        <v>0</v>
      </c>
      <c r="E1250" s="82">
        <f t="shared" si="48"/>
        <v>0</v>
      </c>
    </row>
    <row r="1251" spans="1:5" ht="31.25" x14ac:dyDescent="0.3">
      <c r="A1251" s="83" t="s">
        <v>145</v>
      </c>
      <c r="B1251" s="83" t="s">
        <v>65</v>
      </c>
      <c r="C1251" s="88"/>
      <c r="D1251" s="82">
        <f t="shared" si="48"/>
        <v>0</v>
      </c>
      <c r="E1251" s="82">
        <f t="shared" si="48"/>
        <v>0</v>
      </c>
    </row>
    <row r="1252" spans="1:5" ht="15.65" x14ac:dyDescent="0.3">
      <c r="A1252" s="83" t="s">
        <v>286</v>
      </c>
      <c r="B1252" s="83" t="s">
        <v>69</v>
      </c>
      <c r="C1252" s="88">
        <v>0</v>
      </c>
      <c r="D1252" s="82">
        <f t="shared" si="48"/>
        <v>0</v>
      </c>
      <c r="E1252" s="82">
        <f t="shared" si="48"/>
        <v>0</v>
      </c>
    </row>
    <row r="1253" spans="1:5" ht="31.25" x14ac:dyDescent="0.3">
      <c r="A1253" s="80" t="s">
        <v>237</v>
      </c>
      <c r="B1253" s="80" t="s">
        <v>71</v>
      </c>
      <c r="C1253" s="91">
        <f>C1254</f>
        <v>1500000</v>
      </c>
      <c r="D1253" s="86">
        <f t="shared" si="48"/>
        <v>1575000</v>
      </c>
      <c r="E1253" s="86">
        <f t="shared" si="48"/>
        <v>1653750</v>
      </c>
    </row>
    <row r="1254" spans="1:5" ht="15.65" x14ac:dyDescent="0.3">
      <c r="A1254" s="83" t="s">
        <v>148</v>
      </c>
      <c r="B1254" s="83" t="s">
        <v>72</v>
      </c>
      <c r="C1254" s="409">
        <v>1500000</v>
      </c>
      <c r="D1254" s="82">
        <f t="shared" si="48"/>
        <v>1575000</v>
      </c>
      <c r="E1254" s="82">
        <f t="shared" si="48"/>
        <v>1653750</v>
      </c>
    </row>
    <row r="1255" spans="1:5" ht="15.65" x14ac:dyDescent="0.3">
      <c r="A1255" s="80" t="s">
        <v>238</v>
      </c>
      <c r="B1255" s="80" t="s">
        <v>73</v>
      </c>
      <c r="C1255" s="85">
        <f>C1256+C1257+C1258+C1259</f>
        <v>1080000</v>
      </c>
      <c r="D1255" s="86">
        <f t="shared" si="48"/>
        <v>1134000</v>
      </c>
      <c r="E1255" s="86">
        <f t="shared" si="48"/>
        <v>1190700</v>
      </c>
    </row>
    <row r="1256" spans="1:5" ht="31.25" x14ac:dyDescent="0.3">
      <c r="A1256" s="83" t="s">
        <v>269</v>
      </c>
      <c r="B1256" s="83" t="s">
        <v>74</v>
      </c>
      <c r="C1256" s="409">
        <v>0</v>
      </c>
      <c r="D1256" s="82">
        <f t="shared" si="48"/>
        <v>0</v>
      </c>
      <c r="E1256" s="82">
        <f t="shared" si="48"/>
        <v>0</v>
      </c>
    </row>
    <row r="1257" spans="1:5" ht="15.65" x14ac:dyDescent="0.3">
      <c r="A1257" s="83" t="s">
        <v>270</v>
      </c>
      <c r="B1257" s="83" t="s">
        <v>75</v>
      </c>
      <c r="C1257" s="409">
        <v>100000</v>
      </c>
      <c r="D1257" s="82">
        <f t="shared" si="48"/>
        <v>105000</v>
      </c>
      <c r="E1257" s="82">
        <f t="shared" si="48"/>
        <v>110250</v>
      </c>
    </row>
    <row r="1258" spans="1:5" ht="15.65" x14ac:dyDescent="0.3">
      <c r="A1258" s="83" t="s">
        <v>239</v>
      </c>
      <c r="B1258" s="83" t="s">
        <v>240</v>
      </c>
      <c r="C1258" s="409">
        <v>0</v>
      </c>
      <c r="D1258" s="82">
        <f t="shared" si="48"/>
        <v>0</v>
      </c>
      <c r="E1258" s="82">
        <f t="shared" si="48"/>
        <v>0</v>
      </c>
    </row>
    <row r="1259" spans="1:5" ht="15.65" x14ac:dyDescent="0.3">
      <c r="A1259" s="83" t="s">
        <v>241</v>
      </c>
      <c r="B1259" s="83" t="s">
        <v>76</v>
      </c>
      <c r="C1259" s="409">
        <v>980000</v>
      </c>
      <c r="D1259" s="82">
        <f t="shared" si="48"/>
        <v>1029000</v>
      </c>
      <c r="E1259" s="82">
        <f t="shared" si="48"/>
        <v>1080450</v>
      </c>
    </row>
    <row r="1260" spans="1:5" ht="15.65" x14ac:dyDescent="0.3">
      <c r="A1260" s="83" t="s">
        <v>242</v>
      </c>
      <c r="B1260" s="83" t="s">
        <v>77</v>
      </c>
      <c r="C1260" s="413"/>
      <c r="D1260" s="82">
        <f t="shared" si="48"/>
        <v>0</v>
      </c>
      <c r="E1260" s="82">
        <f t="shared" si="48"/>
        <v>0</v>
      </c>
    </row>
    <row r="1261" spans="1:5" ht="15.65" x14ac:dyDescent="0.3">
      <c r="A1261" s="83"/>
      <c r="B1261" s="83"/>
      <c r="C1261" s="12"/>
      <c r="D1261" s="82">
        <f t="shared" si="48"/>
        <v>0</v>
      </c>
      <c r="E1261" s="82">
        <f t="shared" si="48"/>
        <v>0</v>
      </c>
    </row>
    <row r="1262" spans="1:5" ht="15.65" x14ac:dyDescent="0.3">
      <c r="A1262" s="80">
        <v>3110900</v>
      </c>
      <c r="B1262" s="80" t="s">
        <v>271</v>
      </c>
      <c r="C1262" s="85">
        <f>C1263</f>
        <v>0</v>
      </c>
      <c r="D1262" s="366">
        <f t="shared" si="48"/>
        <v>0</v>
      </c>
      <c r="E1262" s="366">
        <f t="shared" si="48"/>
        <v>0</v>
      </c>
    </row>
    <row r="1263" spans="1:5" ht="15.65" x14ac:dyDescent="0.3">
      <c r="A1263" s="83" t="s">
        <v>272</v>
      </c>
      <c r="B1263" s="83" t="s">
        <v>273</v>
      </c>
      <c r="C1263" s="413"/>
      <c r="D1263" s="82">
        <f t="shared" si="48"/>
        <v>0</v>
      </c>
      <c r="E1263" s="82">
        <f t="shared" si="48"/>
        <v>0</v>
      </c>
    </row>
    <row r="1264" spans="1:5" ht="15.65" x14ac:dyDescent="0.3">
      <c r="A1264" s="80" t="s">
        <v>274</v>
      </c>
      <c r="B1264" s="80" t="s">
        <v>82</v>
      </c>
      <c r="C1264" s="92">
        <f>C1265+C1266</f>
        <v>0</v>
      </c>
      <c r="D1264" s="366">
        <f t="shared" si="48"/>
        <v>0</v>
      </c>
      <c r="E1264" s="366">
        <f t="shared" si="48"/>
        <v>0</v>
      </c>
    </row>
    <row r="1265" spans="1:5" ht="15.65" x14ac:dyDescent="0.3">
      <c r="A1265" s="83" t="s">
        <v>153</v>
      </c>
      <c r="B1265" s="83" t="s">
        <v>83</v>
      </c>
      <c r="C1265" s="409">
        <v>0</v>
      </c>
      <c r="D1265" s="82">
        <f t="shared" ref="D1265:E1280" si="49">C1265*1.05</f>
        <v>0</v>
      </c>
      <c r="E1265" s="82">
        <f t="shared" si="49"/>
        <v>0</v>
      </c>
    </row>
    <row r="1266" spans="1:5" ht="15.65" x14ac:dyDescent="0.3">
      <c r="A1266" s="83" t="s">
        <v>275</v>
      </c>
      <c r="B1266" s="83" t="s">
        <v>84</v>
      </c>
      <c r="C1266" s="409">
        <v>0</v>
      </c>
      <c r="D1266" s="82">
        <f t="shared" si="49"/>
        <v>0</v>
      </c>
      <c r="E1266" s="82">
        <f t="shared" si="49"/>
        <v>0</v>
      </c>
    </row>
    <row r="1267" spans="1:5" ht="15.65" x14ac:dyDescent="0.3">
      <c r="A1267" s="83" t="s">
        <v>276</v>
      </c>
      <c r="B1267" s="12" t="s">
        <v>750</v>
      </c>
      <c r="C1267" s="12"/>
      <c r="D1267" s="82">
        <f>C1271*1.05</f>
        <v>0</v>
      </c>
      <c r="E1267" s="82">
        <f t="shared" si="49"/>
        <v>0</v>
      </c>
    </row>
    <row r="1268" spans="1:5" ht="15.65" x14ac:dyDescent="0.3">
      <c r="A1268" s="12">
        <v>3110701</v>
      </c>
      <c r="B1268" s="83" t="s">
        <v>277</v>
      </c>
      <c r="C1268" s="12"/>
      <c r="D1268" s="82">
        <v>0</v>
      </c>
      <c r="E1268" s="82">
        <f t="shared" si="49"/>
        <v>0</v>
      </c>
    </row>
    <row r="1269" spans="1:5" ht="15.65" x14ac:dyDescent="0.3">
      <c r="A1269" s="80" t="s">
        <v>278</v>
      </c>
      <c r="B1269" s="80" t="s">
        <v>279</v>
      </c>
      <c r="C1269" s="92">
        <f>C1270+C1271</f>
        <v>0</v>
      </c>
      <c r="D1269" s="82">
        <f t="shared" si="49"/>
        <v>0</v>
      </c>
      <c r="E1269" s="82">
        <f t="shared" si="49"/>
        <v>0</v>
      </c>
    </row>
    <row r="1270" spans="1:5" ht="15.65" x14ac:dyDescent="0.3">
      <c r="A1270" s="83" t="s">
        <v>280</v>
      </c>
      <c r="B1270" s="83" t="s">
        <v>281</v>
      </c>
      <c r="C1270" s="88">
        <v>0</v>
      </c>
      <c r="D1270" s="82">
        <f t="shared" si="49"/>
        <v>0</v>
      </c>
      <c r="E1270" s="82">
        <f t="shared" si="49"/>
        <v>0</v>
      </c>
    </row>
    <row r="1271" spans="1:5" ht="31.25" x14ac:dyDescent="0.3">
      <c r="A1271" s="83" t="s">
        <v>282</v>
      </c>
      <c r="B1271" s="83" t="s">
        <v>283</v>
      </c>
      <c r="C1271" s="409">
        <v>0</v>
      </c>
      <c r="D1271" s="82">
        <v>0</v>
      </c>
      <c r="E1271" s="82">
        <v>0</v>
      </c>
    </row>
    <row r="1272" spans="1:5" ht="15.65" x14ac:dyDescent="0.3">
      <c r="A1272" s="83">
        <v>3111403</v>
      </c>
      <c r="B1272" s="83" t="s">
        <v>284</v>
      </c>
      <c r="C1272" s="82"/>
      <c r="D1272" s="82">
        <f t="shared" si="49"/>
        <v>0</v>
      </c>
      <c r="E1272" s="82">
        <f t="shared" si="49"/>
        <v>0</v>
      </c>
    </row>
    <row r="1273" spans="1:5" ht="31.25" x14ac:dyDescent="0.35">
      <c r="A1273" s="83"/>
      <c r="B1273" s="80" t="s">
        <v>929</v>
      </c>
      <c r="C1273" s="371">
        <f>C1199+C1202+C1206+C1214+C1224+C1229+C1240+C1244+C1247+C1253+C1255+C1262+C1264+C1269</f>
        <v>105600000</v>
      </c>
      <c r="D1273" s="406">
        <f t="shared" si="49"/>
        <v>110880000</v>
      </c>
      <c r="E1273" s="406">
        <f t="shared" si="49"/>
        <v>116424000</v>
      </c>
    </row>
    <row r="1274" spans="1:5" ht="16.25" x14ac:dyDescent="0.35">
      <c r="A1274" s="339"/>
      <c r="B1274" s="76"/>
      <c r="C1274" s="371"/>
      <c r="D1274" s="82">
        <f t="shared" si="49"/>
        <v>0</v>
      </c>
      <c r="E1274" s="82">
        <f t="shared" si="49"/>
        <v>0</v>
      </c>
    </row>
    <row r="1275" spans="1:5" ht="16.25" x14ac:dyDescent="0.35">
      <c r="A1275" s="148"/>
      <c r="B1275" s="380" t="s">
        <v>897</v>
      </c>
      <c r="C1275" s="371"/>
      <c r="D1275" s="82">
        <f t="shared" si="49"/>
        <v>0</v>
      </c>
      <c r="E1275" s="82">
        <f t="shared" si="49"/>
        <v>0</v>
      </c>
    </row>
    <row r="1276" spans="1:5" ht="16.25" x14ac:dyDescent="0.35">
      <c r="A1276" s="339">
        <v>3110599</v>
      </c>
      <c r="B1276" s="393" t="s">
        <v>699</v>
      </c>
      <c r="C1276" s="371">
        <v>0</v>
      </c>
      <c r="D1276" s="82">
        <f t="shared" si="49"/>
        <v>0</v>
      </c>
      <c r="E1276" s="82">
        <f t="shared" si="49"/>
        <v>0</v>
      </c>
    </row>
    <row r="1277" spans="1:5" ht="16.25" x14ac:dyDescent="0.35">
      <c r="A1277" s="76">
        <v>3110504</v>
      </c>
      <c r="B1277" s="147" t="s">
        <v>583</v>
      </c>
      <c r="C1277" s="371">
        <v>0</v>
      </c>
      <c r="D1277" s="82">
        <f t="shared" si="49"/>
        <v>0</v>
      </c>
      <c r="E1277" s="82">
        <f t="shared" si="49"/>
        <v>0</v>
      </c>
    </row>
    <row r="1278" spans="1:5" ht="16.25" x14ac:dyDescent="0.35">
      <c r="A1278" s="347" t="s">
        <v>272</v>
      </c>
      <c r="B1278" s="357" t="s">
        <v>273</v>
      </c>
      <c r="C1278" s="371">
        <v>0</v>
      </c>
      <c r="D1278" s="82">
        <f t="shared" si="49"/>
        <v>0</v>
      </c>
      <c r="E1278" s="82">
        <f t="shared" si="49"/>
        <v>0</v>
      </c>
    </row>
    <row r="1279" spans="1:5" ht="16.25" x14ac:dyDescent="0.35">
      <c r="A1279" s="76">
        <v>2410104</v>
      </c>
      <c r="B1279" s="147" t="s">
        <v>751</v>
      </c>
      <c r="C1279" s="371">
        <v>0</v>
      </c>
      <c r="D1279" s="82">
        <f t="shared" si="49"/>
        <v>0</v>
      </c>
      <c r="E1279" s="82">
        <f t="shared" si="49"/>
        <v>0</v>
      </c>
    </row>
    <row r="1280" spans="1:5" ht="16.25" x14ac:dyDescent="0.35">
      <c r="A1280" s="339">
        <v>2410104</v>
      </c>
      <c r="B1280" s="339" t="s">
        <v>245</v>
      </c>
      <c r="C1280" s="371">
        <v>0</v>
      </c>
      <c r="D1280" s="82">
        <f t="shared" si="49"/>
        <v>0</v>
      </c>
      <c r="E1280" s="82">
        <f t="shared" si="49"/>
        <v>0</v>
      </c>
    </row>
    <row r="1281" spans="1:5" ht="31.75" x14ac:dyDescent="0.35">
      <c r="A1281" s="339"/>
      <c r="B1281" s="380" t="s">
        <v>930</v>
      </c>
      <c r="C1281" s="371">
        <f>C1276+C1277+C1278+C1279+C1280</f>
        <v>0</v>
      </c>
      <c r="D1281" s="82">
        <f t="shared" ref="D1281:E1282" si="50">C1281*1.05</f>
        <v>0</v>
      </c>
      <c r="E1281" s="82">
        <f t="shared" si="50"/>
        <v>0</v>
      </c>
    </row>
    <row r="1282" spans="1:5" ht="46.75" x14ac:dyDescent="0.3">
      <c r="A1282" s="339"/>
      <c r="B1282" s="380" t="s">
        <v>931</v>
      </c>
      <c r="C1282" s="414">
        <f>C1273+C1281</f>
        <v>105600000</v>
      </c>
      <c r="D1282" s="366">
        <f t="shared" si="50"/>
        <v>110880000</v>
      </c>
      <c r="E1282" s="366">
        <f t="shared" si="50"/>
        <v>116424000</v>
      </c>
    </row>
    <row r="1284" spans="1:5" ht="16.25" x14ac:dyDescent="0.35">
      <c r="B1284" s="737" t="s">
        <v>1277</v>
      </c>
      <c r="C1284" s="370">
        <f>C1282+C1186+C128</f>
        <v>4341115986.9803333</v>
      </c>
      <c r="D1284" s="370">
        <f t="shared" ref="D1284:E1284" si="51">D1282+D1186+D128</f>
        <v>4558171786.3293505</v>
      </c>
      <c r="E1284" s="370">
        <f t="shared" si="51"/>
        <v>4786080375.6458187</v>
      </c>
    </row>
    <row r="1285" spans="1:5" ht="16.25" x14ac:dyDescent="0.35">
      <c r="B1285" s="737" t="s">
        <v>88</v>
      </c>
      <c r="C1285" s="370">
        <f>C1186</f>
        <v>1063647400.9425832</v>
      </c>
      <c r="D1285" s="738">
        <f t="shared" ref="D1285:D1286" si="52">C1285*1.05</f>
        <v>1116829770.9897125</v>
      </c>
      <c r="E1285" s="738">
        <f t="shared" ref="E1285:E1286" si="53">D1285*1.05</f>
        <v>1172671259.5391982</v>
      </c>
    </row>
    <row r="1286" spans="1:5" ht="16.25" x14ac:dyDescent="0.35">
      <c r="B1286" s="737" t="s">
        <v>1279</v>
      </c>
      <c r="C1286" s="370">
        <f>'Local Rev.'!D33</f>
        <v>30261645.2982421</v>
      </c>
      <c r="D1286" s="738">
        <f t="shared" si="52"/>
        <v>31774727.563154206</v>
      </c>
      <c r="E1286" s="738">
        <f t="shared" si="53"/>
        <v>33363463.941311918</v>
      </c>
    </row>
    <row r="1287" spans="1:5" ht="16.25" x14ac:dyDescent="0.35">
      <c r="B1287" s="737" t="s">
        <v>1278</v>
      </c>
      <c r="C1287" s="370">
        <f>C1284-C1285-C1286</f>
        <v>3247206940.7395082</v>
      </c>
      <c r="D1287" s="370">
        <f t="shared" ref="D1287:E1287" si="54">D1284-D1285-D1286</f>
        <v>3409567287.7764835</v>
      </c>
      <c r="E1287" s="370">
        <f t="shared" si="54"/>
        <v>3580045652.165309</v>
      </c>
    </row>
  </sheetData>
  <protectedRanges>
    <protectedRange password="C43E" sqref="C91:C92" name="Range1_10_1_1_1_1_1_1"/>
    <protectedRange password="C43E" sqref="B86" name="Range1_19_1_1_1_3_1_1_1_1_1_1"/>
    <protectedRange password="C43E" sqref="B151" name="Range1_19_1_1_1_3_1_1_1_1_2_1_1"/>
    <protectedRange password="C43E" sqref="B432 B626 B713 B1178" name="Range1_19_1_1_1_3_1_1_1_1_1_1_1"/>
    <protectedRange password="C43E" sqref="B809" name="Range1_19_1_1_1_3_1_1_1_1_1_1_1_1"/>
    <protectedRange password="C43E" sqref="B528" name="Range1_19_1_1_1_3_1_1_1_1_1_1_1_1_1"/>
    <protectedRange password="C43E" sqref="B1000" name="Range1_19_1_1_1_3_1_1_1_1_1_1_1_2"/>
    <protectedRange password="C43E" sqref="B1276" name="Range1_19_1_1_1_3_1_1_1_1_1_1_1_3"/>
  </protectedRanges>
  <mergeCells count="1">
    <mergeCell ref="A10:A12"/>
  </mergeCells>
  <pageMargins left="0.7" right="0.7" top="0.75" bottom="0.75" header="0.3" footer="0.3"/>
  <pageSetup paperSize="9" scale="69" orientation="portrait" r:id="rId1"/>
  <colBreaks count="1" manualBreakCount="1">
    <brk id="5" max="1048575" man="1"/>
  </colBreaks>
  <customProperties>
    <customPr name="LastActive" r:id="rId2"/>
  </customProperties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2"/>
  <sheetViews>
    <sheetView tabSelected="1" view="pageBreakPreview" topLeftCell="A334" zoomScale="60" zoomScaleNormal="140" workbookViewId="0">
      <selection activeCell="C356" sqref="C356"/>
    </sheetView>
  </sheetViews>
  <sheetFormatPr defaultColWidth="8.90625" defaultRowHeight="15.5" x14ac:dyDescent="0.35"/>
  <cols>
    <col min="1" max="1" width="62" style="6" customWidth="1"/>
    <col min="2" max="2" width="20" style="6" customWidth="1"/>
    <col min="3" max="3" width="19.453125" style="6" customWidth="1"/>
    <col min="4" max="4" width="20.1796875" style="6" customWidth="1"/>
    <col min="5" max="5" width="19.81640625" style="6" customWidth="1"/>
    <col min="6" max="6" width="13.81640625" style="6" bestFit="1" customWidth="1"/>
    <col min="7" max="7" width="12.1796875" style="6" bestFit="1" customWidth="1"/>
    <col min="8" max="8" width="9.08984375" style="6" bestFit="1" customWidth="1"/>
    <col min="9" max="16384" width="8.90625" style="6"/>
  </cols>
  <sheetData>
    <row r="1" spans="1:6" ht="15.65" x14ac:dyDescent="0.3">
      <c r="A1" s="416" t="s">
        <v>1065</v>
      </c>
    </row>
    <row r="2" spans="1:6" ht="15.65" customHeight="1" x14ac:dyDescent="0.35">
      <c r="A2" s="842" t="s">
        <v>803</v>
      </c>
      <c r="B2" s="417" t="s">
        <v>1066</v>
      </c>
      <c r="C2" s="843" t="s">
        <v>805</v>
      </c>
      <c r="D2" s="843"/>
    </row>
    <row r="3" spans="1:6" x14ac:dyDescent="0.35">
      <c r="A3" s="842"/>
      <c r="B3" s="419" t="s">
        <v>1067</v>
      </c>
      <c r="C3" s="420" t="s">
        <v>806</v>
      </c>
      <c r="D3" s="420" t="s">
        <v>807</v>
      </c>
      <c r="F3" s="6">
        <v>446389549</v>
      </c>
    </row>
    <row r="4" spans="1:6" ht="15.65" x14ac:dyDescent="0.3">
      <c r="A4" s="421" t="s">
        <v>808</v>
      </c>
      <c r="B4" s="422">
        <f>SUM(B5)</f>
        <v>273087336</v>
      </c>
      <c r="C4" s="422">
        <f t="shared" ref="C4:D4" si="0">SUM(C5)</f>
        <v>286741702.80000001</v>
      </c>
      <c r="D4" s="422">
        <f t="shared" si="0"/>
        <v>301078787.94</v>
      </c>
      <c r="F4" s="455">
        <f>B4+B6+B9+B12+B16</f>
        <v>796662140</v>
      </c>
    </row>
    <row r="5" spans="1:6" ht="15.65" x14ac:dyDescent="0.3">
      <c r="A5" s="423" t="s">
        <v>809</v>
      </c>
      <c r="B5" s="424">
        <v>273087336</v>
      </c>
      <c r="C5" s="425">
        <f>B5*1.05</f>
        <v>286741702.80000001</v>
      </c>
      <c r="D5" s="425">
        <f t="shared" ref="D5:D83" si="1">1.05*C5</f>
        <v>301078787.94</v>
      </c>
      <c r="F5" s="455">
        <f>F3-F4</f>
        <v>-350272591</v>
      </c>
    </row>
    <row r="6" spans="1:6" ht="15.65" x14ac:dyDescent="0.3">
      <c r="A6" s="426" t="s">
        <v>1068</v>
      </c>
      <c r="B6" s="427">
        <f>SUM(B7+B8)</f>
        <v>6862200</v>
      </c>
      <c r="C6" s="427">
        <f t="shared" ref="C6:D6" si="2">SUM(C7+C8)</f>
        <v>7205310</v>
      </c>
      <c r="D6" s="427">
        <f t="shared" si="2"/>
        <v>7565575.5</v>
      </c>
      <c r="F6" s="455">
        <f>B4+B6+B9+B12+B17+B18+B19+B20+B21</f>
        <v>446389549</v>
      </c>
    </row>
    <row r="7" spans="1:6" ht="15.65" x14ac:dyDescent="0.3">
      <c r="A7" s="423" t="s">
        <v>1069</v>
      </c>
      <c r="B7" s="424">
        <v>6862200</v>
      </c>
      <c r="C7" s="425">
        <f>B7*1.05</f>
        <v>7205310</v>
      </c>
      <c r="D7" s="425">
        <f t="shared" si="1"/>
        <v>7565575.5</v>
      </c>
    </row>
    <row r="8" spans="1:6" ht="15.65" x14ac:dyDescent="0.3">
      <c r="A8" s="423" t="s">
        <v>1070</v>
      </c>
      <c r="B8" s="424">
        <v>0</v>
      </c>
      <c r="C8" s="425">
        <f>B8*1.05</f>
        <v>0</v>
      </c>
      <c r="D8" s="425">
        <f t="shared" si="1"/>
        <v>0</v>
      </c>
    </row>
    <row r="9" spans="1:6" ht="15.65" x14ac:dyDescent="0.3">
      <c r="A9" s="426" t="s">
        <v>814</v>
      </c>
      <c r="B9" s="427">
        <f>SUM(B10+B11)</f>
        <v>92921268</v>
      </c>
      <c r="C9" s="427">
        <f t="shared" ref="C9:D9" si="3">SUM(C10+C11)</f>
        <v>97567331.400000006</v>
      </c>
      <c r="D9" s="427">
        <f t="shared" si="3"/>
        <v>102445697.97000001</v>
      </c>
    </row>
    <row r="10" spans="1:6" ht="15.65" x14ac:dyDescent="0.3">
      <c r="A10" s="423" t="s">
        <v>1071</v>
      </c>
      <c r="B10" s="424">
        <f>66245964+407304</f>
        <v>66653268</v>
      </c>
      <c r="C10" s="425">
        <f>B10*1.05</f>
        <v>69985931.400000006</v>
      </c>
      <c r="D10" s="425">
        <f t="shared" si="1"/>
        <v>73485227.970000014</v>
      </c>
    </row>
    <row r="11" spans="1:6" ht="15.65" x14ac:dyDescent="0.3">
      <c r="A11" s="423" t="s">
        <v>1072</v>
      </c>
      <c r="B11" s="424">
        <v>26268000</v>
      </c>
      <c r="C11" s="425">
        <f>B11*1.05</f>
        <v>27581400</v>
      </c>
      <c r="D11" s="425">
        <f t="shared" si="1"/>
        <v>28960470</v>
      </c>
    </row>
    <row r="12" spans="1:6" ht="15.65" x14ac:dyDescent="0.3">
      <c r="A12" s="426" t="s">
        <v>1073</v>
      </c>
      <c r="B12" s="427">
        <f>B13+B14+B15</f>
        <v>8369879</v>
      </c>
      <c r="C12" s="427">
        <f t="shared" ref="C12:D12" si="4">C13+C14+C15</f>
        <v>8788372.9499999993</v>
      </c>
      <c r="D12" s="427">
        <f t="shared" si="4"/>
        <v>9227791.5975000001</v>
      </c>
    </row>
    <row r="13" spans="1:6" ht="15.65" x14ac:dyDescent="0.3">
      <c r="A13" s="423" t="s">
        <v>1074</v>
      </c>
      <c r="B13" s="424">
        <v>7805879</v>
      </c>
      <c r="C13" s="425">
        <f>B13*1.05</f>
        <v>8196172.9500000002</v>
      </c>
      <c r="D13" s="425">
        <f t="shared" si="1"/>
        <v>8605981.5975000001</v>
      </c>
    </row>
    <row r="14" spans="1:6" ht="15.65" x14ac:dyDescent="0.3">
      <c r="A14" s="423" t="s">
        <v>1075</v>
      </c>
      <c r="B14" s="424">
        <v>564000</v>
      </c>
      <c r="C14" s="425">
        <f>B14*1.05</f>
        <v>592200</v>
      </c>
      <c r="D14" s="425">
        <f t="shared" si="1"/>
        <v>621810</v>
      </c>
    </row>
    <row r="15" spans="1:6" ht="15.65" x14ac:dyDescent="0.3">
      <c r="A15" s="423" t="s">
        <v>1161</v>
      </c>
      <c r="B15" s="424">
        <v>0</v>
      </c>
      <c r="C15" s="425">
        <f>B15*1.05</f>
        <v>0</v>
      </c>
      <c r="D15" s="425">
        <f t="shared" si="1"/>
        <v>0</v>
      </c>
    </row>
    <row r="16" spans="1:6" ht="15.65" x14ac:dyDescent="0.3">
      <c r="A16" s="426" t="s">
        <v>816</v>
      </c>
      <c r="B16" s="427">
        <f>B17+B18+B19+B20+B21+B22+B23</f>
        <v>415421457</v>
      </c>
      <c r="C16" s="427">
        <f t="shared" ref="C16:D16" si="5">SUM(C17+C21+C18+C19+C20)</f>
        <v>68406309.300000012</v>
      </c>
      <c r="D16" s="427">
        <f t="shared" si="5"/>
        <v>71826624.765000001</v>
      </c>
    </row>
    <row r="17" spans="1:8" ht="15.65" x14ac:dyDescent="0.3">
      <c r="A17" s="423" t="s">
        <v>630</v>
      </c>
      <c r="B17" s="424">
        <v>8010000</v>
      </c>
      <c r="C17" s="425">
        <f t="shared" ref="C17:C23" si="6">B17*1.05</f>
        <v>8410500</v>
      </c>
      <c r="D17" s="425">
        <f t="shared" si="1"/>
        <v>8831025</v>
      </c>
      <c r="H17" s="6">
        <f>2440*133</f>
        <v>324520</v>
      </c>
    </row>
    <row r="18" spans="1:8" ht="15.65" x14ac:dyDescent="0.3">
      <c r="A18" s="423" t="s">
        <v>1076</v>
      </c>
      <c r="B18" s="424">
        <v>395400</v>
      </c>
      <c r="C18" s="425">
        <f t="shared" si="6"/>
        <v>415170</v>
      </c>
      <c r="D18" s="425">
        <f t="shared" si="1"/>
        <v>435928.5</v>
      </c>
    </row>
    <row r="19" spans="1:8" ht="15.65" x14ac:dyDescent="0.3">
      <c r="A19" s="423" t="s">
        <v>1077</v>
      </c>
      <c r="B19" s="424">
        <v>5601522</v>
      </c>
      <c r="C19" s="425">
        <f t="shared" si="6"/>
        <v>5881598.1000000006</v>
      </c>
      <c r="D19" s="425">
        <f t="shared" si="1"/>
        <v>6175678.0050000008</v>
      </c>
    </row>
    <row r="20" spans="1:8" ht="15.65" x14ac:dyDescent="0.3">
      <c r="A20" s="423" t="s">
        <v>1078</v>
      </c>
      <c r="B20" s="424">
        <v>2311980</v>
      </c>
      <c r="C20" s="425">
        <f t="shared" si="6"/>
        <v>2427579</v>
      </c>
      <c r="D20" s="425">
        <f t="shared" si="1"/>
        <v>2548957.9500000002</v>
      </c>
    </row>
    <row r="21" spans="1:8" ht="15.65" x14ac:dyDescent="0.3">
      <c r="A21" s="423" t="s">
        <v>631</v>
      </c>
      <c r="B21" s="424">
        <v>48829964</v>
      </c>
      <c r="C21" s="425">
        <f t="shared" si="6"/>
        <v>51271462.200000003</v>
      </c>
      <c r="D21" s="425">
        <f t="shared" si="1"/>
        <v>53835035.310000002</v>
      </c>
    </row>
    <row r="22" spans="1:8" ht="15.65" x14ac:dyDescent="0.3">
      <c r="A22" s="423" t="s">
        <v>1079</v>
      </c>
      <c r="B22" s="676">
        <f>147885187+160721005</f>
        <v>308606192</v>
      </c>
      <c r="C22" s="425">
        <f t="shared" si="6"/>
        <v>324036501.60000002</v>
      </c>
      <c r="D22" s="425">
        <f t="shared" si="1"/>
        <v>340238326.68000007</v>
      </c>
    </row>
    <row r="23" spans="1:8" ht="15.65" x14ac:dyDescent="0.3">
      <c r="A23" s="423" t="s">
        <v>813</v>
      </c>
      <c r="B23" s="428">
        <v>41666399</v>
      </c>
      <c r="C23" s="425">
        <f t="shared" si="6"/>
        <v>43749718.950000003</v>
      </c>
      <c r="D23" s="425">
        <f t="shared" si="1"/>
        <v>45937204.897500008</v>
      </c>
    </row>
    <row r="24" spans="1:8" ht="15.65" x14ac:dyDescent="0.3">
      <c r="A24" s="426" t="s">
        <v>817</v>
      </c>
      <c r="B24" s="427">
        <f>SUM(B25+B26)</f>
        <v>2832000</v>
      </c>
      <c r="C24" s="427">
        <f t="shared" ref="C24:D24" si="7">SUM(C25+C26)</f>
        <v>2973600</v>
      </c>
      <c r="D24" s="427">
        <f t="shared" si="7"/>
        <v>3122280</v>
      </c>
    </row>
    <row r="25" spans="1:8" ht="15.65" x14ac:dyDescent="0.3">
      <c r="A25" s="423" t="s">
        <v>818</v>
      </c>
      <c r="B25" s="424">
        <v>1488000</v>
      </c>
      <c r="C25" s="425">
        <f>B25*1.05</f>
        <v>1562400</v>
      </c>
      <c r="D25" s="425">
        <f t="shared" si="1"/>
        <v>1640520</v>
      </c>
    </row>
    <row r="26" spans="1:8" ht="15.65" x14ac:dyDescent="0.3">
      <c r="A26" s="423" t="s">
        <v>819</v>
      </c>
      <c r="B26" s="424">
        <v>1344000</v>
      </c>
      <c r="C26" s="425">
        <f>B26*1.05</f>
        <v>1411200</v>
      </c>
      <c r="D26" s="425">
        <f t="shared" si="1"/>
        <v>1481760</v>
      </c>
    </row>
    <row r="27" spans="1:8" ht="15.65" x14ac:dyDescent="0.3">
      <c r="A27" s="426" t="s">
        <v>820</v>
      </c>
      <c r="B27" s="427">
        <f>B28+B29+B30</f>
        <v>708000</v>
      </c>
      <c r="C27" s="427">
        <f t="shared" ref="C27:D27" si="8">C28+C29+C30</f>
        <v>743400</v>
      </c>
      <c r="D27" s="427">
        <f t="shared" si="8"/>
        <v>780570</v>
      </c>
    </row>
    <row r="28" spans="1:8" ht="15.65" x14ac:dyDescent="0.3">
      <c r="A28" s="423" t="s">
        <v>821</v>
      </c>
      <c r="B28" s="424">
        <v>0</v>
      </c>
      <c r="C28" s="425">
        <f>B28*1.05</f>
        <v>0</v>
      </c>
      <c r="D28" s="425">
        <f>C28*1.05</f>
        <v>0</v>
      </c>
    </row>
    <row r="29" spans="1:8" ht="15.65" x14ac:dyDescent="0.3">
      <c r="A29" s="423" t="s">
        <v>1080</v>
      </c>
      <c r="B29" s="424">
        <v>600000</v>
      </c>
      <c r="C29" s="425">
        <f t="shared" ref="C29:D30" si="9">B29*1.05</f>
        <v>630000</v>
      </c>
      <c r="D29" s="425">
        <f t="shared" si="9"/>
        <v>661500</v>
      </c>
    </row>
    <row r="30" spans="1:8" ht="15.65" x14ac:dyDescent="0.3">
      <c r="A30" s="456" t="s">
        <v>1162</v>
      </c>
      <c r="B30" s="424">
        <v>108000</v>
      </c>
      <c r="C30" s="425">
        <f t="shared" si="9"/>
        <v>113400</v>
      </c>
      <c r="D30" s="425">
        <f t="shared" si="9"/>
        <v>119070</v>
      </c>
    </row>
    <row r="31" spans="1:8" ht="15.65" x14ac:dyDescent="0.3">
      <c r="A31" s="426" t="s">
        <v>822</v>
      </c>
      <c r="B31" s="427">
        <f>SUM(B32+B33+B34+B35)</f>
        <v>14282505</v>
      </c>
      <c r="C31" s="427">
        <f>SUM(C32+C33+C34+C35)</f>
        <v>14996630.25</v>
      </c>
      <c r="D31" s="427">
        <f>SUM(D32+D33+D34+D35)</f>
        <v>15746461.762500001</v>
      </c>
    </row>
    <row r="32" spans="1:8" ht="15.65" x14ac:dyDescent="0.3">
      <c r="A32" s="423" t="s">
        <v>823</v>
      </c>
      <c r="B32" s="424">
        <v>1010000</v>
      </c>
      <c r="C32" s="425">
        <f>B32*1.05</f>
        <v>1060500</v>
      </c>
      <c r="D32" s="425">
        <f t="shared" si="1"/>
        <v>1113525</v>
      </c>
    </row>
    <row r="33" spans="1:4" ht="15.65" x14ac:dyDescent="0.3">
      <c r="A33" s="423" t="s">
        <v>825</v>
      </c>
      <c r="B33" s="424">
        <v>6183520</v>
      </c>
      <c r="C33" s="425">
        <f t="shared" ref="C33:C35" si="10">B33*1.05</f>
        <v>6492696</v>
      </c>
      <c r="D33" s="425">
        <f t="shared" si="1"/>
        <v>6817330.8000000007</v>
      </c>
    </row>
    <row r="34" spans="1:4" ht="15.65" x14ac:dyDescent="0.3">
      <c r="A34" s="423" t="s">
        <v>826</v>
      </c>
      <c r="B34" s="424">
        <v>2647485</v>
      </c>
      <c r="C34" s="425">
        <f t="shared" si="10"/>
        <v>2779859.25</v>
      </c>
      <c r="D34" s="425">
        <f t="shared" si="1"/>
        <v>2918852.2124999999</v>
      </c>
    </row>
    <row r="35" spans="1:4" ht="15.65" x14ac:dyDescent="0.3">
      <c r="A35" s="423" t="s">
        <v>872</v>
      </c>
      <c r="B35" s="424">
        <v>4441500</v>
      </c>
      <c r="C35" s="425">
        <f t="shared" si="10"/>
        <v>4663575</v>
      </c>
      <c r="D35" s="425">
        <f t="shared" si="1"/>
        <v>4896753.75</v>
      </c>
    </row>
    <row r="36" spans="1:4" ht="15.65" x14ac:dyDescent="0.3">
      <c r="A36" s="426" t="s">
        <v>827</v>
      </c>
      <c r="B36" s="427">
        <f>SUM(B37+B38+B39)</f>
        <v>0</v>
      </c>
      <c r="C36" s="427">
        <f t="shared" ref="C36:D36" si="11">SUM(C37+C38+C39)</f>
        <v>0</v>
      </c>
      <c r="D36" s="427">
        <f t="shared" si="11"/>
        <v>0</v>
      </c>
    </row>
    <row r="37" spans="1:4" ht="15.65" x14ac:dyDescent="0.3">
      <c r="A37" s="423" t="s">
        <v>829</v>
      </c>
      <c r="B37" s="424">
        <v>0</v>
      </c>
      <c r="C37" s="425">
        <f>B37*1.05</f>
        <v>0</v>
      </c>
      <c r="D37" s="425">
        <f t="shared" si="1"/>
        <v>0</v>
      </c>
    </row>
    <row r="38" spans="1:4" ht="15.65" x14ac:dyDescent="0.3">
      <c r="A38" s="423" t="s">
        <v>1081</v>
      </c>
      <c r="B38" s="424">
        <v>0</v>
      </c>
      <c r="C38" s="425">
        <f t="shared" ref="C38:C39" si="12">B38*1.05</f>
        <v>0</v>
      </c>
      <c r="D38" s="425">
        <f t="shared" si="1"/>
        <v>0</v>
      </c>
    </row>
    <row r="39" spans="1:4" x14ac:dyDescent="0.35">
      <c r="A39" s="423" t="s">
        <v>1082</v>
      </c>
      <c r="B39" s="424">
        <v>0</v>
      </c>
      <c r="C39" s="425">
        <f t="shared" si="12"/>
        <v>0</v>
      </c>
      <c r="D39" s="425">
        <f t="shared" si="1"/>
        <v>0</v>
      </c>
    </row>
    <row r="40" spans="1:4" ht="15.65" x14ac:dyDescent="0.3">
      <c r="A40" s="426" t="s">
        <v>830</v>
      </c>
      <c r="B40" s="427">
        <f>SUM(B41+B43+B42)</f>
        <v>1893400</v>
      </c>
      <c r="C40" s="427">
        <f t="shared" ref="C40:D40" si="13">SUM(C41+C43+C42)</f>
        <v>1988070</v>
      </c>
      <c r="D40" s="427">
        <f t="shared" si="13"/>
        <v>2087473.5</v>
      </c>
    </row>
    <row r="41" spans="1:4" ht="15.65" x14ac:dyDescent="0.3">
      <c r="A41" s="423" t="s">
        <v>831</v>
      </c>
      <c r="B41" s="424">
        <v>231000</v>
      </c>
      <c r="C41" s="425">
        <f>B41*1.05</f>
        <v>242550</v>
      </c>
      <c r="D41" s="425">
        <f t="shared" si="1"/>
        <v>254677.5</v>
      </c>
    </row>
    <row r="42" spans="1:4" ht="15.65" x14ac:dyDescent="0.3">
      <c r="A42" s="423" t="s">
        <v>1083</v>
      </c>
      <c r="B42" s="424">
        <v>62400</v>
      </c>
      <c r="C42" s="425">
        <f>B42*1.05</f>
        <v>65520</v>
      </c>
      <c r="D42" s="425">
        <f t="shared" si="1"/>
        <v>68796</v>
      </c>
    </row>
    <row r="43" spans="1:4" ht="15.65" x14ac:dyDescent="0.3">
      <c r="A43" s="423" t="s">
        <v>832</v>
      </c>
      <c r="B43" s="424">
        <v>1600000</v>
      </c>
      <c r="C43" s="425">
        <f>B43*1.05</f>
        <v>1680000</v>
      </c>
      <c r="D43" s="425">
        <f t="shared" si="1"/>
        <v>1764000</v>
      </c>
    </row>
    <row r="44" spans="1:4" ht="15.65" x14ac:dyDescent="0.3">
      <c r="A44" s="426" t="s">
        <v>1084</v>
      </c>
      <c r="B44" s="427">
        <f>SUM(B45)</f>
        <v>1200000</v>
      </c>
      <c r="C44" s="427">
        <f t="shared" ref="C44:D44" si="14">SUM(C45)</f>
        <v>1260000</v>
      </c>
      <c r="D44" s="427">
        <f t="shared" si="14"/>
        <v>1323000</v>
      </c>
    </row>
    <row r="45" spans="1:4" ht="16.25" thickBot="1" x14ac:dyDescent="0.35">
      <c r="A45" s="423" t="s">
        <v>1085</v>
      </c>
      <c r="B45" s="424">
        <v>1200000</v>
      </c>
      <c r="C45" s="425">
        <f>B45*1.05</f>
        <v>1260000</v>
      </c>
      <c r="D45" s="425">
        <f t="shared" si="1"/>
        <v>1323000</v>
      </c>
    </row>
    <row r="46" spans="1:4" ht="16.25" thickBot="1" x14ac:dyDescent="0.35">
      <c r="A46" s="429" t="s">
        <v>1086</v>
      </c>
      <c r="B46" s="430">
        <f>SUM(B47:B51)</f>
        <v>1091500</v>
      </c>
      <c r="C46" s="430">
        <f t="shared" ref="C46:D46" si="15">SUM(C47:C51)</f>
        <v>1146075</v>
      </c>
      <c r="D46" s="430">
        <f t="shared" si="15"/>
        <v>1203378.75</v>
      </c>
    </row>
    <row r="47" spans="1:4" ht="16.25" thickBot="1" x14ac:dyDescent="0.35">
      <c r="A47" s="431" t="s">
        <v>1087</v>
      </c>
      <c r="B47" s="424">
        <v>214000</v>
      </c>
      <c r="C47" s="425">
        <f>B47*1.05</f>
        <v>224700</v>
      </c>
      <c r="D47" s="425">
        <f t="shared" ref="D47:D51" si="16">1.05*C47</f>
        <v>235935</v>
      </c>
    </row>
    <row r="48" spans="1:4" ht="16.25" thickBot="1" x14ac:dyDescent="0.35">
      <c r="A48" s="431" t="s">
        <v>1088</v>
      </c>
      <c r="B48" s="424"/>
      <c r="C48" s="425">
        <f t="shared" ref="C48:C51" si="17">B48*1.05</f>
        <v>0</v>
      </c>
      <c r="D48" s="425">
        <f t="shared" si="16"/>
        <v>0</v>
      </c>
    </row>
    <row r="49" spans="1:4" ht="16.25" thickBot="1" x14ac:dyDescent="0.35">
      <c r="A49" s="431" t="s">
        <v>1089</v>
      </c>
      <c r="B49" s="424"/>
      <c r="C49" s="425">
        <f t="shared" si="17"/>
        <v>0</v>
      </c>
      <c r="D49" s="425">
        <f t="shared" si="16"/>
        <v>0</v>
      </c>
    </row>
    <row r="50" spans="1:4" ht="16.25" thickBot="1" x14ac:dyDescent="0.35">
      <c r="A50" s="431" t="s">
        <v>1090</v>
      </c>
      <c r="B50" s="424">
        <v>557500</v>
      </c>
      <c r="C50" s="425">
        <f t="shared" si="17"/>
        <v>585375</v>
      </c>
      <c r="D50" s="425">
        <f t="shared" si="16"/>
        <v>614643.75</v>
      </c>
    </row>
    <row r="51" spans="1:4" ht="16.25" thickBot="1" x14ac:dyDescent="0.35">
      <c r="A51" s="431" t="s">
        <v>1091</v>
      </c>
      <c r="B51" s="424">
        <v>320000</v>
      </c>
      <c r="C51" s="425">
        <f t="shared" si="17"/>
        <v>336000</v>
      </c>
      <c r="D51" s="425">
        <f t="shared" si="16"/>
        <v>352800</v>
      </c>
    </row>
    <row r="52" spans="1:4" ht="15.65" x14ac:dyDescent="0.3">
      <c r="A52" s="426" t="s">
        <v>836</v>
      </c>
      <c r="B52" s="427">
        <f>SUM(B53+B54)</f>
        <v>4151095</v>
      </c>
      <c r="C52" s="427">
        <f t="shared" ref="C52:D52" si="18">SUM(C53+C54)</f>
        <v>4358649.75</v>
      </c>
      <c r="D52" s="427">
        <f t="shared" si="18"/>
        <v>4576582.2374999998</v>
      </c>
    </row>
    <row r="53" spans="1:4" ht="15.65" x14ac:dyDescent="0.3">
      <c r="A53" s="423" t="s">
        <v>837</v>
      </c>
      <c r="B53" s="424">
        <v>2505000</v>
      </c>
      <c r="C53" s="425">
        <f>B53*1.05</f>
        <v>2630250</v>
      </c>
      <c r="D53" s="425">
        <f t="shared" si="1"/>
        <v>2761762.5</v>
      </c>
    </row>
    <row r="54" spans="1:4" ht="15.65" x14ac:dyDescent="0.3">
      <c r="A54" s="423" t="s">
        <v>838</v>
      </c>
      <c r="B54" s="424">
        <v>1646095</v>
      </c>
      <c r="C54" s="425">
        <f>B54*1.05</f>
        <v>1728399.75</v>
      </c>
      <c r="D54" s="425">
        <f t="shared" si="1"/>
        <v>1814819.7375</v>
      </c>
    </row>
    <row r="55" spans="1:4" ht="15.65" x14ac:dyDescent="0.3">
      <c r="A55" s="426" t="s">
        <v>839</v>
      </c>
      <c r="B55" s="427">
        <f>SUM(B56)</f>
        <v>2500000</v>
      </c>
      <c r="C55" s="427">
        <f t="shared" ref="C55:D55" si="19">SUM(C56)</f>
        <v>2625000</v>
      </c>
      <c r="D55" s="427">
        <f t="shared" si="19"/>
        <v>2756250</v>
      </c>
    </row>
    <row r="56" spans="1:4" ht="15.65" x14ac:dyDescent="0.3">
      <c r="A56" s="423" t="s">
        <v>1092</v>
      </c>
      <c r="B56" s="424">
        <v>2500000</v>
      </c>
      <c r="C56" s="425">
        <f>B56*1.05</f>
        <v>2625000</v>
      </c>
      <c r="D56" s="425">
        <f t="shared" si="1"/>
        <v>2756250</v>
      </c>
    </row>
    <row r="57" spans="1:4" ht="15.65" x14ac:dyDescent="0.3">
      <c r="A57" s="426" t="s">
        <v>843</v>
      </c>
      <c r="B57" s="427">
        <f>SUM(B58+B59+B60)</f>
        <v>3252520</v>
      </c>
      <c r="C57" s="427">
        <f t="shared" ref="C57:D57" si="20">SUM(C58+C59+C60)</f>
        <v>3415146</v>
      </c>
      <c r="D57" s="427">
        <f t="shared" si="20"/>
        <v>3585903.3000000003</v>
      </c>
    </row>
    <row r="58" spans="1:4" ht="15.65" x14ac:dyDescent="0.3">
      <c r="A58" s="423" t="s">
        <v>844</v>
      </c>
      <c r="B58" s="424">
        <f>1381500+233520</f>
        <v>1615020</v>
      </c>
      <c r="C58" s="425">
        <f>B58*1.05</f>
        <v>1695771</v>
      </c>
      <c r="D58" s="425">
        <f t="shared" si="1"/>
        <v>1780559.55</v>
      </c>
    </row>
    <row r="59" spans="1:4" ht="15.65" x14ac:dyDescent="0.3">
      <c r="A59" s="423" t="s">
        <v>1093</v>
      </c>
      <c r="B59" s="424">
        <v>958960</v>
      </c>
      <c r="C59" s="425">
        <f>B59*1.05</f>
        <v>1006908</v>
      </c>
      <c r="D59" s="425">
        <f t="shared" si="1"/>
        <v>1057253.4000000001</v>
      </c>
    </row>
    <row r="60" spans="1:4" ht="15.65" x14ac:dyDescent="0.3">
      <c r="A60" s="423" t="s">
        <v>845</v>
      </c>
      <c r="B60" s="424">
        <v>678540</v>
      </c>
      <c r="C60" s="425">
        <f>B60*1.05</f>
        <v>712467</v>
      </c>
      <c r="D60" s="425">
        <f t="shared" si="1"/>
        <v>748090.35</v>
      </c>
    </row>
    <row r="61" spans="1:4" ht="15.65" x14ac:dyDescent="0.3">
      <c r="A61" s="426" t="s">
        <v>846</v>
      </c>
      <c r="B61" s="427">
        <f>SUM(B62)</f>
        <v>7669800</v>
      </c>
      <c r="C61" s="427">
        <f t="shared" ref="C61:D61" si="21">SUM(C62)</f>
        <v>8053290</v>
      </c>
      <c r="D61" s="427">
        <f t="shared" si="21"/>
        <v>8455954.5</v>
      </c>
    </row>
    <row r="62" spans="1:4" s="457" customFormat="1" ht="15.65" x14ac:dyDescent="0.3">
      <c r="A62" s="432" t="s">
        <v>847</v>
      </c>
      <c r="B62" s="433">
        <f>12669800-5000000</f>
        <v>7669800</v>
      </c>
      <c r="C62" s="434">
        <f>B62*1.05</f>
        <v>8053290</v>
      </c>
      <c r="D62" s="434">
        <f t="shared" si="1"/>
        <v>8455954.5</v>
      </c>
    </row>
    <row r="63" spans="1:4" ht="15.65" x14ac:dyDescent="0.3">
      <c r="A63" s="426" t="s">
        <v>848</v>
      </c>
      <c r="B63" s="427">
        <f>SUM(B64+B65+B66+B67+B68)</f>
        <v>68130000</v>
      </c>
      <c r="C63" s="427">
        <f t="shared" ref="C63:D63" si="22">SUM(C64+C65+C66+C67+C68)</f>
        <v>71536500</v>
      </c>
      <c r="D63" s="427">
        <f t="shared" si="22"/>
        <v>75113325</v>
      </c>
    </row>
    <row r="64" spans="1:4" s="457" customFormat="1" ht="15.65" x14ac:dyDescent="0.3">
      <c r="A64" s="432" t="s">
        <v>849</v>
      </c>
      <c r="B64" s="433">
        <v>3130000</v>
      </c>
      <c r="C64" s="434">
        <f>B64*1.05</f>
        <v>3286500</v>
      </c>
      <c r="D64" s="434">
        <f t="shared" si="1"/>
        <v>3450825</v>
      </c>
    </row>
    <row r="65" spans="1:4" ht="15.65" x14ac:dyDescent="0.3">
      <c r="A65" s="423" t="s">
        <v>1094</v>
      </c>
      <c r="B65" s="424">
        <v>0</v>
      </c>
      <c r="C65" s="425">
        <f>B65*1.05</f>
        <v>0</v>
      </c>
      <c r="D65" s="425">
        <f t="shared" si="1"/>
        <v>0</v>
      </c>
    </row>
    <row r="66" spans="1:4" ht="15.65" x14ac:dyDescent="0.3">
      <c r="A66" s="423" t="s">
        <v>1095</v>
      </c>
      <c r="B66" s="424">
        <v>0</v>
      </c>
      <c r="C66" s="425">
        <f t="shared" ref="C66:C68" si="23">B66*1.05</f>
        <v>0</v>
      </c>
      <c r="D66" s="425">
        <f t="shared" si="1"/>
        <v>0</v>
      </c>
    </row>
    <row r="67" spans="1:4" ht="15.65" x14ac:dyDescent="0.3">
      <c r="A67" s="423" t="s">
        <v>1096</v>
      </c>
      <c r="B67" s="676">
        <v>5000000</v>
      </c>
      <c r="C67" s="425">
        <f t="shared" si="23"/>
        <v>5250000</v>
      </c>
      <c r="D67" s="425">
        <f t="shared" si="1"/>
        <v>5512500</v>
      </c>
    </row>
    <row r="68" spans="1:4" ht="15.65" x14ac:dyDescent="0.3">
      <c r="A68" s="423" t="s">
        <v>1163</v>
      </c>
      <c r="B68" s="428">
        <v>60000000</v>
      </c>
      <c r="C68" s="425">
        <f t="shared" si="23"/>
        <v>63000000</v>
      </c>
      <c r="D68" s="425">
        <f t="shared" si="1"/>
        <v>66150000</v>
      </c>
    </row>
    <row r="69" spans="1:4" ht="15.65" x14ac:dyDescent="0.3">
      <c r="A69" s="426" t="s">
        <v>850</v>
      </c>
      <c r="B69" s="427">
        <f>SUM(B70)</f>
        <v>2500000</v>
      </c>
      <c r="C69" s="427">
        <f t="shared" ref="C69:D69" si="24">SUM(C70)</f>
        <v>2625000</v>
      </c>
      <c r="D69" s="427">
        <f t="shared" si="24"/>
        <v>2756250</v>
      </c>
    </row>
    <row r="70" spans="1:4" ht="15.65" x14ac:dyDescent="0.3">
      <c r="A70" s="423" t="s">
        <v>851</v>
      </c>
      <c r="B70" s="424">
        <v>2500000</v>
      </c>
      <c r="C70" s="425">
        <f>B70*1.05</f>
        <v>2625000</v>
      </c>
      <c r="D70" s="425">
        <f t="shared" si="1"/>
        <v>2756250</v>
      </c>
    </row>
    <row r="71" spans="1:4" ht="15.65" x14ac:dyDescent="0.3">
      <c r="A71" s="426" t="s">
        <v>877</v>
      </c>
      <c r="B71" s="427">
        <f>SUM(B72+B73+B74)</f>
        <v>1840000</v>
      </c>
      <c r="C71" s="427">
        <f t="shared" ref="C71:D71" si="25">SUM(C72+C73+C74)</f>
        <v>1932000</v>
      </c>
      <c r="D71" s="427">
        <f t="shared" si="25"/>
        <v>2028600</v>
      </c>
    </row>
    <row r="72" spans="1:4" ht="15.65" x14ac:dyDescent="0.3">
      <c r="A72" s="423" t="s">
        <v>879</v>
      </c>
      <c r="B72" s="424">
        <v>1600000</v>
      </c>
      <c r="C72" s="425">
        <f>B72*1.05</f>
        <v>1680000</v>
      </c>
      <c r="D72" s="425">
        <f t="shared" si="1"/>
        <v>1764000</v>
      </c>
    </row>
    <row r="73" spans="1:4" ht="15.65" x14ac:dyDescent="0.3">
      <c r="A73" s="423" t="s">
        <v>880</v>
      </c>
      <c r="B73" s="424">
        <v>240000</v>
      </c>
      <c r="C73" s="425">
        <f>B73*1.05</f>
        <v>252000</v>
      </c>
      <c r="D73" s="425">
        <f t="shared" si="1"/>
        <v>264600</v>
      </c>
    </row>
    <row r="74" spans="1:4" ht="15.65" x14ac:dyDescent="0.3">
      <c r="A74" s="423" t="s">
        <v>1164</v>
      </c>
      <c r="B74" s="424">
        <v>0</v>
      </c>
      <c r="C74" s="425">
        <f>B74*1.05</f>
        <v>0</v>
      </c>
      <c r="D74" s="425">
        <f t="shared" si="1"/>
        <v>0</v>
      </c>
    </row>
    <row r="75" spans="1:4" ht="15.65" x14ac:dyDescent="0.3">
      <c r="A75" s="426" t="s">
        <v>881</v>
      </c>
      <c r="B75" s="427">
        <f>SUM(B76)</f>
        <v>0</v>
      </c>
      <c r="C75" s="427">
        <f t="shared" ref="C75:D75" si="26">SUM(C76)</f>
        <v>0</v>
      </c>
      <c r="D75" s="427">
        <f t="shared" si="26"/>
        <v>0</v>
      </c>
    </row>
    <row r="76" spans="1:4" ht="15.65" x14ac:dyDescent="0.3">
      <c r="A76" s="423" t="s">
        <v>882</v>
      </c>
      <c r="B76" s="424">
        <v>0</v>
      </c>
      <c r="C76" s="425">
        <f>B76*1.05</f>
        <v>0</v>
      </c>
      <c r="D76" s="425">
        <f t="shared" si="1"/>
        <v>0</v>
      </c>
    </row>
    <row r="77" spans="1:4" ht="15.65" x14ac:dyDescent="0.3">
      <c r="A77" s="426" t="s">
        <v>1097</v>
      </c>
      <c r="B77" s="427">
        <f>SUM(B78)</f>
        <v>0</v>
      </c>
      <c r="C77" s="427">
        <f t="shared" ref="C77:D77" si="27">SUM(C78)</f>
        <v>0</v>
      </c>
      <c r="D77" s="427">
        <f t="shared" si="27"/>
        <v>0</v>
      </c>
    </row>
    <row r="78" spans="1:4" ht="15.65" x14ac:dyDescent="0.3">
      <c r="A78" s="423" t="s">
        <v>1098</v>
      </c>
      <c r="B78" s="424">
        <v>0</v>
      </c>
      <c r="C78" s="425">
        <f>B78*1.05</f>
        <v>0</v>
      </c>
      <c r="D78" s="425">
        <f t="shared" si="1"/>
        <v>0</v>
      </c>
    </row>
    <row r="79" spans="1:4" ht="15.65" x14ac:dyDescent="0.3">
      <c r="A79" s="426" t="s">
        <v>854</v>
      </c>
      <c r="B79" s="427">
        <f>B80+B81</f>
        <v>2200000</v>
      </c>
      <c r="C79" s="427">
        <f t="shared" ref="C79:D79" si="28">C80+C81</f>
        <v>2310000</v>
      </c>
      <c r="D79" s="427">
        <f t="shared" si="28"/>
        <v>2425500</v>
      </c>
    </row>
    <row r="80" spans="1:4" ht="15.65" x14ac:dyDescent="0.3">
      <c r="A80" s="423" t="s">
        <v>855</v>
      </c>
      <c r="B80" s="424">
        <v>1600000</v>
      </c>
      <c r="C80" s="425">
        <f>B80*1.05</f>
        <v>1680000</v>
      </c>
      <c r="D80" s="425">
        <f t="shared" si="1"/>
        <v>1764000</v>
      </c>
    </row>
    <row r="81" spans="1:7" ht="15.65" x14ac:dyDescent="0.3">
      <c r="A81" s="423" t="s">
        <v>1099</v>
      </c>
      <c r="B81" s="424">
        <v>600000</v>
      </c>
      <c r="C81" s="425">
        <f>B81*1.05</f>
        <v>630000</v>
      </c>
      <c r="D81" s="425">
        <f t="shared" si="1"/>
        <v>661500</v>
      </c>
    </row>
    <row r="82" spans="1:7" ht="15.65" x14ac:dyDescent="0.3">
      <c r="A82" s="426" t="s">
        <v>1100</v>
      </c>
      <c r="B82" s="427">
        <f>SUM(B83)</f>
        <v>30000000</v>
      </c>
      <c r="C82" s="427">
        <f t="shared" ref="C82:D82" si="29">SUM(C83)</f>
        <v>31500000</v>
      </c>
      <c r="D82" s="427">
        <f t="shared" si="29"/>
        <v>33075000</v>
      </c>
    </row>
    <row r="83" spans="1:7" ht="15.65" x14ac:dyDescent="0.3">
      <c r="A83" s="423" t="s">
        <v>1101</v>
      </c>
      <c r="B83" s="676">
        <v>30000000</v>
      </c>
      <c r="C83" s="425">
        <f>B83*1.05</f>
        <v>31500000</v>
      </c>
      <c r="D83" s="425">
        <f t="shared" si="1"/>
        <v>33075000</v>
      </c>
    </row>
    <row r="84" spans="1:7" ht="15.65" x14ac:dyDescent="0.3">
      <c r="A84" s="435" t="s">
        <v>862</v>
      </c>
      <c r="B84" s="430">
        <f>B82+B79+B77+B75+B71+B69+B63+B61+B57+B55+B52+B44+B40+B36+B31+B27+B24+B16+B12+B9+B6+B4+B46</f>
        <v>940912960</v>
      </c>
      <c r="C84" s="430">
        <f>C82+C79+C77+C75+C71+C69+C63+C61+C57+C55+C52+C44+C40+C36+C31+C27+C24+C16+C12+C9+C6+C4+C46</f>
        <v>620172387.45000005</v>
      </c>
      <c r="D84" s="430">
        <f>D82+D79+D77+D75+D71+D69+D63+D61+D57+D55+D52+D44+D40+D36+D31+D27+D24+D16+D12+D9+D6+D4+D46</f>
        <v>651181006.82249999</v>
      </c>
      <c r="G84" s="6">
        <v>707360161</v>
      </c>
    </row>
    <row r="85" spans="1:7" ht="15.65" x14ac:dyDescent="0.3">
      <c r="A85" s="436" t="s">
        <v>385</v>
      </c>
      <c r="B85" s="430"/>
      <c r="C85" s="425"/>
      <c r="D85" s="425"/>
      <c r="G85" s="458">
        <f>B84-G84</f>
        <v>233552799</v>
      </c>
    </row>
    <row r="86" spans="1:7" ht="15.65" x14ac:dyDescent="0.3">
      <c r="A86" s="310" t="s">
        <v>822</v>
      </c>
      <c r="B86" s="437">
        <f>B87</f>
        <v>0</v>
      </c>
      <c r="C86" s="437">
        <f t="shared" ref="C86:D86" si="30">C87</f>
        <v>0</v>
      </c>
      <c r="D86" s="437">
        <f t="shared" si="30"/>
        <v>0</v>
      </c>
    </row>
    <row r="87" spans="1:7" ht="15.65" x14ac:dyDescent="0.3">
      <c r="A87" s="311" t="s">
        <v>826</v>
      </c>
      <c r="B87" s="438">
        <v>0</v>
      </c>
      <c r="C87" s="425">
        <f>B87*1.05</f>
        <v>0</v>
      </c>
      <c r="D87" s="425">
        <f t="shared" ref="D87:D97" si="31">1.05*C87</f>
        <v>0</v>
      </c>
      <c r="G87" s="6">
        <f>718123256</f>
        <v>718123256</v>
      </c>
    </row>
    <row r="88" spans="1:7" ht="15.65" x14ac:dyDescent="0.3">
      <c r="A88" s="439" t="s">
        <v>1102</v>
      </c>
      <c r="B88" s="438"/>
      <c r="C88" s="425">
        <f>B88*1.05</f>
        <v>0</v>
      </c>
      <c r="D88" s="425">
        <f t="shared" si="31"/>
        <v>0</v>
      </c>
      <c r="G88" s="458">
        <f>B84-G87</f>
        <v>222789704</v>
      </c>
    </row>
    <row r="89" spans="1:7" ht="15.65" x14ac:dyDescent="0.3">
      <c r="A89" s="440" t="s">
        <v>881</v>
      </c>
      <c r="B89" s="437">
        <f>B90</f>
        <v>0</v>
      </c>
      <c r="C89" s="437">
        <f t="shared" ref="C89:D89" si="32">C90</f>
        <v>0</v>
      </c>
      <c r="D89" s="437">
        <f t="shared" si="32"/>
        <v>0</v>
      </c>
    </row>
    <row r="90" spans="1:7" ht="15.65" x14ac:dyDescent="0.3">
      <c r="A90" s="441" t="s">
        <v>882</v>
      </c>
      <c r="B90" s="438"/>
      <c r="C90" s="425">
        <f>B90*1.05</f>
        <v>0</v>
      </c>
      <c r="D90" s="425">
        <f t="shared" si="31"/>
        <v>0</v>
      </c>
    </row>
    <row r="91" spans="1:7" ht="15.65" x14ac:dyDescent="0.3">
      <c r="A91" s="310" t="s">
        <v>1103</v>
      </c>
      <c r="B91" s="437">
        <f>B92</f>
        <v>100000000</v>
      </c>
      <c r="C91" s="437">
        <f t="shared" ref="C91:D91" si="33">C92</f>
        <v>105000000</v>
      </c>
      <c r="D91" s="437">
        <f t="shared" si="33"/>
        <v>110250000</v>
      </c>
    </row>
    <row r="92" spans="1:7" ht="15.65" x14ac:dyDescent="0.3">
      <c r="A92" s="311" t="s">
        <v>1104</v>
      </c>
      <c r="B92" s="438">
        <v>100000000</v>
      </c>
      <c r="C92" s="425">
        <f>B92*1.05</f>
        <v>105000000</v>
      </c>
      <c r="D92" s="425">
        <f t="shared" si="31"/>
        <v>110250000</v>
      </c>
    </row>
    <row r="93" spans="1:7" ht="15.65" x14ac:dyDescent="0.3">
      <c r="A93" s="310" t="s">
        <v>864</v>
      </c>
      <c r="B93" s="437">
        <f>B94</f>
        <v>0</v>
      </c>
      <c r="C93" s="437">
        <f t="shared" ref="C93:D93" si="34">C94</f>
        <v>0</v>
      </c>
      <c r="D93" s="437">
        <f t="shared" si="34"/>
        <v>0</v>
      </c>
    </row>
    <row r="94" spans="1:7" ht="15.65" x14ac:dyDescent="0.3">
      <c r="A94" s="311" t="s">
        <v>865</v>
      </c>
      <c r="B94" s="442">
        <v>0</v>
      </c>
      <c r="C94" s="425">
        <f>B94*1.05</f>
        <v>0</v>
      </c>
      <c r="D94" s="425">
        <f t="shared" si="31"/>
        <v>0</v>
      </c>
    </row>
    <row r="95" spans="1:7" ht="15.65" x14ac:dyDescent="0.3">
      <c r="A95" s="310" t="s">
        <v>1105</v>
      </c>
      <c r="B95" s="437">
        <f>SUM(B96:B97)</f>
        <v>55718949.450000003</v>
      </c>
      <c r="C95" s="437">
        <f t="shared" ref="C95:D95" si="35">SUM(C96:C97)</f>
        <v>58504896.922499999</v>
      </c>
      <c r="D95" s="437">
        <f t="shared" si="35"/>
        <v>61430141.768625006</v>
      </c>
    </row>
    <row r="96" spans="1:7" ht="15.65" x14ac:dyDescent="0.3">
      <c r="A96" s="311" t="s">
        <v>1106</v>
      </c>
      <c r="B96" s="438">
        <f>-3062005.55+40529371</f>
        <v>37467365.450000003</v>
      </c>
      <c r="C96" s="425">
        <f>B96*1.05</f>
        <v>39340733.722500004</v>
      </c>
      <c r="D96" s="425">
        <f t="shared" si="31"/>
        <v>41307770.408625007</v>
      </c>
      <c r="E96" s="6">
        <v>-3792888.8521308899</v>
      </c>
    </row>
    <row r="97" spans="1:6" ht="15.65" x14ac:dyDescent="0.3">
      <c r="A97" s="311" t="s">
        <v>1107</v>
      </c>
      <c r="B97" s="438">
        <f>22044472-3792888</f>
        <v>18251584</v>
      </c>
      <c r="C97" s="425">
        <f>B97*1.05</f>
        <v>19164163.199999999</v>
      </c>
      <c r="D97" s="425">
        <f t="shared" si="31"/>
        <v>20122371.359999999</v>
      </c>
    </row>
    <row r="98" spans="1:6" ht="15.65" x14ac:dyDescent="0.3">
      <c r="A98" s="443" t="s">
        <v>870</v>
      </c>
      <c r="B98" s="444">
        <f>B95+B93+B91+B89+B86+B88</f>
        <v>155718949.44999999</v>
      </c>
      <c r="C98" s="444">
        <f t="shared" ref="C98:D98" si="36">C95+C93+C91+C89+C86+C88</f>
        <v>163504896.92250001</v>
      </c>
      <c r="D98" s="444">
        <f t="shared" si="36"/>
        <v>171680141.76862502</v>
      </c>
      <c r="F98" s="458"/>
    </row>
    <row r="99" spans="1:6" ht="15.65" x14ac:dyDescent="0.3">
      <c r="A99" s="445" t="s">
        <v>1108</v>
      </c>
      <c r="B99" s="446"/>
      <c r="C99" s="446"/>
      <c r="D99" s="446"/>
    </row>
    <row r="100" spans="1:6" ht="15.65" customHeight="1" x14ac:dyDescent="0.35">
      <c r="A100" s="842" t="s">
        <v>803</v>
      </c>
      <c r="B100" s="417" t="s">
        <v>1066</v>
      </c>
      <c r="C100" s="843" t="s">
        <v>805</v>
      </c>
      <c r="D100" s="843"/>
    </row>
    <row r="101" spans="1:6" x14ac:dyDescent="0.35">
      <c r="A101" s="842"/>
      <c r="B101" s="419" t="s">
        <v>1067</v>
      </c>
      <c r="C101" s="420" t="s">
        <v>806</v>
      </c>
      <c r="D101" s="420" t="s">
        <v>807</v>
      </c>
    </row>
    <row r="102" spans="1:6" ht="15.65" x14ac:dyDescent="0.3">
      <c r="A102" s="426" t="s">
        <v>817</v>
      </c>
      <c r="B102" s="447">
        <f>B103+B104</f>
        <v>120000</v>
      </c>
      <c r="C102" s="447">
        <f t="shared" ref="C102:D102" si="37">C103+C104</f>
        <v>126000</v>
      </c>
      <c r="D102" s="447">
        <f t="shared" si="37"/>
        <v>132300</v>
      </c>
    </row>
    <row r="103" spans="1:6" ht="15.65" x14ac:dyDescent="0.3">
      <c r="A103" s="423" t="s">
        <v>818</v>
      </c>
      <c r="B103" s="448">
        <v>60000</v>
      </c>
      <c r="C103" s="449">
        <f>B103*1.05</f>
        <v>63000</v>
      </c>
      <c r="D103" s="449">
        <f>C103*1.05</f>
        <v>66150</v>
      </c>
    </row>
    <row r="104" spans="1:6" ht="15.65" x14ac:dyDescent="0.3">
      <c r="A104" s="423" t="s">
        <v>819</v>
      </c>
      <c r="B104" s="448">
        <v>60000</v>
      </c>
      <c r="C104" s="449">
        <f>B104*1.05</f>
        <v>63000</v>
      </c>
      <c r="D104" s="449">
        <f>C104*1.05</f>
        <v>66150</v>
      </c>
    </row>
    <row r="105" spans="1:6" ht="15.65" x14ac:dyDescent="0.3">
      <c r="A105" s="421" t="s">
        <v>820</v>
      </c>
      <c r="B105" s="422">
        <f>SUM(B106)</f>
        <v>648000</v>
      </c>
      <c r="C105" s="422">
        <f t="shared" ref="C105:D105" si="38">SUM(C106)</f>
        <v>680400</v>
      </c>
      <c r="D105" s="422">
        <f t="shared" si="38"/>
        <v>714420</v>
      </c>
    </row>
    <row r="106" spans="1:6" ht="15.65" x14ac:dyDescent="0.3">
      <c r="A106" s="423" t="s">
        <v>821</v>
      </c>
      <c r="B106" s="424">
        <v>648000</v>
      </c>
      <c r="C106" s="425">
        <f>B106*1.05</f>
        <v>680400</v>
      </c>
      <c r="D106" s="425">
        <f t="shared" ref="D106:D129" si="39">1.05*C106</f>
        <v>714420</v>
      </c>
    </row>
    <row r="107" spans="1:6" ht="15.65" x14ac:dyDescent="0.3">
      <c r="A107" s="426" t="s">
        <v>822</v>
      </c>
      <c r="B107" s="427">
        <f>SUM(B108+B109+B110)</f>
        <v>5330530</v>
      </c>
      <c r="C107" s="427">
        <f t="shared" ref="C107:D107" si="40">SUM(C108+C109)</f>
        <v>3881729.25</v>
      </c>
      <c r="D107" s="427">
        <f t="shared" si="40"/>
        <v>4075815.7125000004</v>
      </c>
    </row>
    <row r="108" spans="1:6" ht="15.65" x14ac:dyDescent="0.3">
      <c r="A108" s="423" t="s">
        <v>823</v>
      </c>
      <c r="B108" s="424">
        <v>618000</v>
      </c>
      <c r="C108" s="425">
        <f>B108*1.05</f>
        <v>648900</v>
      </c>
      <c r="D108" s="425">
        <f t="shared" si="39"/>
        <v>681345</v>
      </c>
    </row>
    <row r="109" spans="1:6" ht="15.65" x14ac:dyDescent="0.3">
      <c r="A109" s="423" t="s">
        <v>825</v>
      </c>
      <c r="B109" s="424">
        <f>-3000000+7078885-1000000</f>
        <v>3078885</v>
      </c>
      <c r="C109" s="425">
        <f>B109*1.05</f>
        <v>3232829.25</v>
      </c>
      <c r="D109" s="425">
        <f t="shared" si="39"/>
        <v>3394470.7125000004</v>
      </c>
    </row>
    <row r="110" spans="1:6" ht="15.65" x14ac:dyDescent="0.3">
      <c r="A110" s="311" t="s">
        <v>826</v>
      </c>
      <c r="B110" s="438">
        <f>1677745-44100</f>
        <v>1633645</v>
      </c>
      <c r="C110" s="425">
        <f>B110*1.05</f>
        <v>1715327.25</v>
      </c>
      <c r="D110" s="425">
        <f t="shared" si="39"/>
        <v>1801093.6125</v>
      </c>
    </row>
    <row r="111" spans="1:6" ht="15.65" x14ac:dyDescent="0.3">
      <c r="A111" s="426" t="s">
        <v>830</v>
      </c>
      <c r="B111" s="427">
        <f>SUM(B112)</f>
        <v>1427500</v>
      </c>
      <c r="C111" s="427">
        <f t="shared" ref="C111:D111" si="41">SUM(C112)</f>
        <v>1498875</v>
      </c>
      <c r="D111" s="427">
        <f t="shared" si="41"/>
        <v>1573818.75</v>
      </c>
    </row>
    <row r="112" spans="1:6" ht="16.25" thickBot="1" x14ac:dyDescent="0.35">
      <c r="A112" s="423" t="s">
        <v>831</v>
      </c>
      <c r="B112" s="424">
        <v>1427500</v>
      </c>
      <c r="C112" s="425">
        <f>B112*1.05</f>
        <v>1498875</v>
      </c>
      <c r="D112" s="425">
        <f t="shared" si="39"/>
        <v>1573818.75</v>
      </c>
    </row>
    <row r="113" spans="1:4" ht="16.25" thickBot="1" x14ac:dyDescent="0.35">
      <c r="A113" s="429" t="s">
        <v>1086</v>
      </c>
      <c r="B113" s="430">
        <f>B114+B115+B116+B117+B118</f>
        <v>3511660</v>
      </c>
      <c r="C113" s="430">
        <f t="shared" ref="C113:D113" si="42">C114+C115+C116+C117+C118</f>
        <v>3687243</v>
      </c>
      <c r="D113" s="430">
        <f t="shared" si="42"/>
        <v>3871605.15</v>
      </c>
    </row>
    <row r="114" spans="1:4" ht="16.25" thickBot="1" x14ac:dyDescent="0.35">
      <c r="A114" s="431" t="s">
        <v>1087</v>
      </c>
      <c r="B114" s="424">
        <v>150000</v>
      </c>
      <c r="C114" s="425">
        <f>B114*1.05</f>
        <v>157500</v>
      </c>
      <c r="D114" s="425">
        <f>C114*1.05</f>
        <v>165375</v>
      </c>
    </row>
    <row r="115" spans="1:4" ht="16.25" thickBot="1" x14ac:dyDescent="0.35">
      <c r="A115" s="431" t="s">
        <v>1088</v>
      </c>
      <c r="B115" s="424"/>
      <c r="C115" s="425">
        <f t="shared" ref="C115:D118" si="43">B115*1.05</f>
        <v>0</v>
      </c>
      <c r="D115" s="425">
        <f t="shared" si="43"/>
        <v>0</v>
      </c>
    </row>
    <row r="116" spans="1:4" ht="16.25" thickBot="1" x14ac:dyDescent="0.35">
      <c r="A116" s="431" t="s">
        <v>1089</v>
      </c>
      <c r="B116" s="424">
        <v>0</v>
      </c>
      <c r="C116" s="425">
        <f t="shared" si="43"/>
        <v>0</v>
      </c>
      <c r="D116" s="425">
        <f t="shared" si="43"/>
        <v>0</v>
      </c>
    </row>
    <row r="117" spans="1:4" ht="16.25" thickBot="1" x14ac:dyDescent="0.35">
      <c r="A117" s="431" t="s">
        <v>1090</v>
      </c>
      <c r="B117" s="424">
        <v>2761660</v>
      </c>
      <c r="C117" s="425">
        <f t="shared" si="43"/>
        <v>2899743</v>
      </c>
      <c r="D117" s="425">
        <f t="shared" si="43"/>
        <v>3044730.15</v>
      </c>
    </row>
    <row r="118" spans="1:4" ht="16.25" thickBot="1" x14ac:dyDescent="0.35">
      <c r="A118" s="431" t="s">
        <v>1091</v>
      </c>
      <c r="B118" s="424">
        <v>600000</v>
      </c>
      <c r="C118" s="425">
        <f t="shared" si="43"/>
        <v>630000</v>
      </c>
      <c r="D118" s="425">
        <f t="shared" si="43"/>
        <v>661500</v>
      </c>
    </row>
    <row r="119" spans="1:4" ht="15.65" x14ac:dyDescent="0.3">
      <c r="A119" s="426" t="s">
        <v>836</v>
      </c>
      <c r="B119" s="427">
        <f>SUM(B120+B121)</f>
        <v>7109335</v>
      </c>
      <c r="C119" s="427">
        <f t="shared" ref="C119:D119" si="44">SUM(C120+C121)</f>
        <v>7464801.75</v>
      </c>
      <c r="D119" s="427">
        <f t="shared" si="44"/>
        <v>7838041.8375000004</v>
      </c>
    </row>
    <row r="120" spans="1:4" ht="15.65" x14ac:dyDescent="0.3">
      <c r="A120" s="423" t="s">
        <v>837</v>
      </c>
      <c r="B120" s="424">
        <f>-1000000+3735000</f>
        <v>2735000</v>
      </c>
      <c r="C120" s="425">
        <f>B120*1.05</f>
        <v>2871750</v>
      </c>
      <c r="D120" s="425">
        <f t="shared" si="39"/>
        <v>3015337.5</v>
      </c>
    </row>
    <row r="121" spans="1:4" ht="15.65" x14ac:dyDescent="0.3">
      <c r="A121" s="423" t="s">
        <v>838</v>
      </c>
      <c r="B121" s="424">
        <f>-1000000+7374335-2000000</f>
        <v>4374335</v>
      </c>
      <c r="C121" s="425">
        <f>B121*1.05</f>
        <v>4593051.75</v>
      </c>
      <c r="D121" s="425">
        <f t="shared" si="39"/>
        <v>4822704.3375000004</v>
      </c>
    </row>
    <row r="122" spans="1:4" ht="15.65" x14ac:dyDescent="0.3">
      <c r="A122" s="426" t="s">
        <v>843</v>
      </c>
      <c r="B122" s="430">
        <f>B123+B124</f>
        <v>633739</v>
      </c>
      <c r="C122" s="430">
        <f t="shared" ref="C122:D122" si="45">C123+C124</f>
        <v>665425.95000000007</v>
      </c>
      <c r="D122" s="430">
        <f t="shared" si="45"/>
        <v>698697.24750000006</v>
      </c>
    </row>
    <row r="123" spans="1:4" ht="15.65" x14ac:dyDescent="0.3">
      <c r="A123" s="423" t="s">
        <v>844</v>
      </c>
      <c r="B123" s="424">
        <f>636000-2261</f>
        <v>633739</v>
      </c>
      <c r="C123" s="425">
        <f>B123*1.05</f>
        <v>665425.95000000007</v>
      </c>
      <c r="D123" s="425">
        <f t="shared" ref="D123:D124" si="46">1.05*C123</f>
        <v>698697.24750000006</v>
      </c>
    </row>
    <row r="124" spans="1:4" ht="15.65" x14ac:dyDescent="0.3">
      <c r="A124" s="423" t="s">
        <v>1093</v>
      </c>
      <c r="B124" s="424"/>
      <c r="C124" s="425">
        <f>B124*1.05</f>
        <v>0</v>
      </c>
      <c r="D124" s="425">
        <f t="shared" si="46"/>
        <v>0</v>
      </c>
    </row>
    <row r="125" spans="1:4" ht="15.65" x14ac:dyDescent="0.3">
      <c r="A125" s="426" t="s">
        <v>846</v>
      </c>
      <c r="B125" s="424">
        <f>B126</f>
        <v>240000</v>
      </c>
      <c r="C125" s="424">
        <f t="shared" ref="C125:D125" si="47">C126</f>
        <v>252000</v>
      </c>
      <c r="D125" s="424">
        <f t="shared" si="47"/>
        <v>264600</v>
      </c>
    </row>
    <row r="126" spans="1:4" ht="15.65" x14ac:dyDescent="0.3">
      <c r="A126" s="432" t="s">
        <v>847</v>
      </c>
      <c r="B126" s="424">
        <v>240000</v>
      </c>
      <c r="C126" s="425">
        <f>B126*1.05</f>
        <v>252000</v>
      </c>
      <c r="D126" s="425">
        <f>C126*1.05</f>
        <v>264600</v>
      </c>
    </row>
    <row r="127" spans="1:4" ht="15.65" x14ac:dyDescent="0.3">
      <c r="A127" s="426" t="s">
        <v>854</v>
      </c>
      <c r="B127" s="427">
        <f>B128+B129</f>
        <v>380000</v>
      </c>
      <c r="C127" s="427">
        <f t="shared" ref="C127:D127" si="48">C128+C129</f>
        <v>399000</v>
      </c>
      <c r="D127" s="427">
        <f t="shared" si="48"/>
        <v>418950</v>
      </c>
    </row>
    <row r="128" spans="1:4" ht="15.65" x14ac:dyDescent="0.3">
      <c r="A128" s="423" t="s">
        <v>855</v>
      </c>
      <c r="B128" s="424">
        <v>0</v>
      </c>
      <c r="C128" s="425">
        <f>B128*1.05</f>
        <v>0</v>
      </c>
      <c r="D128" s="425">
        <f t="shared" si="39"/>
        <v>0</v>
      </c>
    </row>
    <row r="129" spans="1:7" ht="15.65" x14ac:dyDescent="0.3">
      <c r="A129" s="423" t="s">
        <v>1109</v>
      </c>
      <c r="B129" s="424">
        <v>380000</v>
      </c>
      <c r="C129" s="425">
        <f>B129*1.05</f>
        <v>399000</v>
      </c>
      <c r="D129" s="425">
        <f t="shared" si="39"/>
        <v>418950</v>
      </c>
      <c r="G129" s="458">
        <f>B130-27401045</f>
        <v>-8000281</v>
      </c>
    </row>
    <row r="130" spans="1:7" ht="15.65" x14ac:dyDescent="0.3">
      <c r="A130" s="435" t="s">
        <v>862</v>
      </c>
      <c r="B130" s="430">
        <f>B127+B125++B119+B113+B111+B107+B105+B102+B122</f>
        <v>19400764</v>
      </c>
      <c r="C130" s="430">
        <f>C127+C119+C111+C107+C105+C122</f>
        <v>14590231.949999999</v>
      </c>
      <c r="D130" s="430">
        <f>D127+D119+D111+D107+D105+D122</f>
        <v>15319743.547500001</v>
      </c>
      <c r="G130" s="6">
        <v>27400764</v>
      </c>
    </row>
    <row r="131" spans="1:7" ht="15.65" x14ac:dyDescent="0.3">
      <c r="A131" s="435"/>
      <c r="B131" s="430"/>
      <c r="C131" s="430"/>
      <c r="D131" s="430"/>
      <c r="G131" s="458">
        <f>G130-B130</f>
        <v>8000000</v>
      </c>
    </row>
    <row r="132" spans="1:7" ht="15.65" x14ac:dyDescent="0.3">
      <c r="A132" s="450" t="s">
        <v>1110</v>
      </c>
      <c r="B132" s="451"/>
      <c r="C132" s="451"/>
      <c r="D132" s="451"/>
      <c r="G132" s="458">
        <f>B130-G131</f>
        <v>11400764</v>
      </c>
    </row>
    <row r="133" spans="1:7" ht="15.65" customHeight="1" x14ac:dyDescent="0.35">
      <c r="A133" s="842" t="s">
        <v>803</v>
      </c>
      <c r="B133" s="417" t="s">
        <v>1066</v>
      </c>
      <c r="C133" s="843" t="s">
        <v>805</v>
      </c>
      <c r="D133" s="843"/>
    </row>
    <row r="134" spans="1:7" x14ac:dyDescent="0.35">
      <c r="A134" s="842"/>
      <c r="B134" s="419" t="s">
        <v>1067</v>
      </c>
      <c r="C134" s="420" t="s">
        <v>806</v>
      </c>
      <c r="D134" s="420" t="s">
        <v>807</v>
      </c>
    </row>
    <row r="135" spans="1:7" ht="15.65" x14ac:dyDescent="0.3">
      <c r="A135" s="421" t="s">
        <v>820</v>
      </c>
      <c r="B135" s="422">
        <f>SUM(B136+B137)</f>
        <v>177692</v>
      </c>
      <c r="C135" s="422">
        <f t="shared" ref="C135:D135" si="49">SUM(C136+C137)</f>
        <v>186576.6</v>
      </c>
      <c r="D135" s="422">
        <f t="shared" si="49"/>
        <v>195905.43000000002</v>
      </c>
    </row>
    <row r="136" spans="1:7" ht="15.65" x14ac:dyDescent="0.3">
      <c r="A136" s="423" t="s">
        <v>821</v>
      </c>
      <c r="B136" s="424">
        <v>177692</v>
      </c>
      <c r="C136" s="425">
        <f>B136*1.05</f>
        <v>186576.6</v>
      </c>
      <c r="D136" s="425">
        <f t="shared" ref="D136:D157" si="50">1.05*C136</f>
        <v>195905.43000000002</v>
      </c>
    </row>
    <row r="137" spans="1:7" ht="15.65" x14ac:dyDescent="0.3">
      <c r="A137" s="423" t="s">
        <v>1080</v>
      </c>
      <c r="B137" s="424">
        <v>0</v>
      </c>
      <c r="C137" s="425">
        <f>B137*1.05</f>
        <v>0</v>
      </c>
      <c r="D137" s="425">
        <f t="shared" si="50"/>
        <v>0</v>
      </c>
    </row>
    <row r="138" spans="1:7" ht="15.65" x14ac:dyDescent="0.3">
      <c r="A138" s="426" t="s">
        <v>822</v>
      </c>
      <c r="B138" s="427">
        <f>SUM(B139+B140+B141)</f>
        <v>6849400</v>
      </c>
      <c r="C138" s="427">
        <f t="shared" ref="C138:D138" si="51">SUM(C139+C140+C141)</f>
        <v>7191870</v>
      </c>
      <c r="D138" s="427">
        <f t="shared" si="51"/>
        <v>7551463.5</v>
      </c>
    </row>
    <row r="139" spans="1:7" ht="15.65" x14ac:dyDescent="0.3">
      <c r="A139" s="423" t="s">
        <v>823</v>
      </c>
      <c r="B139" s="424">
        <v>524000</v>
      </c>
      <c r="C139" s="425">
        <f>B139*1.05</f>
        <v>550200</v>
      </c>
      <c r="D139" s="425">
        <f t="shared" si="50"/>
        <v>577710</v>
      </c>
    </row>
    <row r="140" spans="1:7" ht="15.65" x14ac:dyDescent="0.3">
      <c r="A140" s="423" t="s">
        <v>825</v>
      </c>
      <c r="B140" s="424">
        <f>-3000000+9325400</f>
        <v>6325400</v>
      </c>
      <c r="C140" s="425">
        <f t="shared" ref="C140:C141" si="52">B140*1.05</f>
        <v>6641670</v>
      </c>
      <c r="D140" s="425">
        <f t="shared" si="50"/>
        <v>6973753.5</v>
      </c>
    </row>
    <row r="141" spans="1:7" ht="15.65" x14ac:dyDescent="0.3">
      <c r="A141" s="423" t="s">
        <v>826</v>
      </c>
      <c r="B141" s="424">
        <v>0</v>
      </c>
      <c r="C141" s="425">
        <f t="shared" si="52"/>
        <v>0</v>
      </c>
      <c r="D141" s="425">
        <f t="shared" si="50"/>
        <v>0</v>
      </c>
    </row>
    <row r="142" spans="1:7" ht="15.65" x14ac:dyDescent="0.3">
      <c r="A142" s="426" t="s">
        <v>830</v>
      </c>
      <c r="B142" s="424">
        <f>B143</f>
        <v>104000</v>
      </c>
      <c r="C142" s="425">
        <f>B142*1.05</f>
        <v>109200</v>
      </c>
      <c r="D142" s="425">
        <f t="shared" si="50"/>
        <v>114660</v>
      </c>
    </row>
    <row r="143" spans="1:7" ht="16.25" thickBot="1" x14ac:dyDescent="0.35">
      <c r="A143" s="423" t="s">
        <v>831</v>
      </c>
      <c r="B143" s="424">
        <v>104000</v>
      </c>
      <c r="C143" s="425">
        <f>B143*1.05</f>
        <v>109200</v>
      </c>
      <c r="D143" s="425">
        <f>C143*1.05</f>
        <v>114660</v>
      </c>
    </row>
    <row r="144" spans="1:7" ht="16.25" thickBot="1" x14ac:dyDescent="0.35">
      <c r="A144" s="429" t="s">
        <v>1086</v>
      </c>
      <c r="B144" s="430">
        <f>B145+B146+B147+B148+B149</f>
        <v>3726600</v>
      </c>
      <c r="C144" s="430">
        <f t="shared" ref="C144:D144" si="53">C145+C146+C147+C148+C149</f>
        <v>3912930</v>
      </c>
      <c r="D144" s="430">
        <f t="shared" si="53"/>
        <v>4108576.5</v>
      </c>
    </row>
    <row r="145" spans="1:4" ht="16.25" thickBot="1" x14ac:dyDescent="0.35">
      <c r="A145" s="431" t="s">
        <v>1087</v>
      </c>
      <c r="B145" s="424"/>
      <c r="C145" s="425">
        <f>B145*1.05</f>
        <v>0</v>
      </c>
      <c r="D145" s="425">
        <f>C145*1.05</f>
        <v>0</v>
      </c>
    </row>
    <row r="146" spans="1:4" ht="16.25" thickBot="1" x14ac:dyDescent="0.35">
      <c r="A146" s="431" t="s">
        <v>1088</v>
      </c>
      <c r="B146" s="424"/>
      <c r="C146" s="425">
        <f t="shared" ref="C146:D149" si="54">B146*1.05</f>
        <v>0</v>
      </c>
      <c r="D146" s="425">
        <f t="shared" si="54"/>
        <v>0</v>
      </c>
    </row>
    <row r="147" spans="1:4" ht="16.25" thickBot="1" x14ac:dyDescent="0.35">
      <c r="A147" s="431" t="s">
        <v>1089</v>
      </c>
      <c r="B147" s="424"/>
      <c r="C147" s="425">
        <f t="shared" si="54"/>
        <v>0</v>
      </c>
      <c r="D147" s="425">
        <f t="shared" si="54"/>
        <v>0</v>
      </c>
    </row>
    <row r="148" spans="1:4" ht="16.25" thickBot="1" x14ac:dyDescent="0.35">
      <c r="A148" s="431" t="s">
        <v>1090</v>
      </c>
      <c r="B148" s="424">
        <v>936600</v>
      </c>
      <c r="C148" s="425">
        <f t="shared" si="54"/>
        <v>983430</v>
      </c>
      <c r="D148" s="425">
        <f t="shared" si="54"/>
        <v>1032601.5</v>
      </c>
    </row>
    <row r="149" spans="1:4" ht="16.25" thickBot="1" x14ac:dyDescent="0.35">
      <c r="A149" s="431" t="s">
        <v>1091</v>
      </c>
      <c r="B149" s="424">
        <v>2790000</v>
      </c>
      <c r="C149" s="425">
        <f t="shared" si="54"/>
        <v>2929500</v>
      </c>
      <c r="D149" s="425">
        <f t="shared" si="54"/>
        <v>3075975</v>
      </c>
    </row>
    <row r="150" spans="1:4" ht="15.65" x14ac:dyDescent="0.3">
      <c r="A150" s="426" t="s">
        <v>836</v>
      </c>
      <c r="B150" s="427">
        <f>SUM(B151+B152)</f>
        <v>3688500</v>
      </c>
      <c r="C150" s="427">
        <f t="shared" ref="C150:D150" si="55">SUM(C151+C152)</f>
        <v>3872925</v>
      </c>
      <c r="D150" s="427">
        <f t="shared" si="55"/>
        <v>4066571.25</v>
      </c>
    </row>
    <row r="151" spans="1:4" ht="15.65" x14ac:dyDescent="0.3">
      <c r="A151" s="423" t="s">
        <v>837</v>
      </c>
      <c r="B151" s="424">
        <v>3244000</v>
      </c>
      <c r="C151" s="425">
        <f>B151*1.05</f>
        <v>3406200</v>
      </c>
      <c r="D151" s="425">
        <f t="shared" si="50"/>
        <v>3576510</v>
      </c>
    </row>
    <row r="152" spans="1:4" ht="15.65" x14ac:dyDescent="0.3">
      <c r="A152" s="423" t="s">
        <v>838</v>
      </c>
      <c r="B152" s="424">
        <v>444500</v>
      </c>
      <c r="C152" s="425">
        <f>B152*1.05</f>
        <v>466725</v>
      </c>
      <c r="D152" s="425">
        <f t="shared" si="50"/>
        <v>490061.25</v>
      </c>
    </row>
    <row r="153" spans="1:4" ht="15.65" x14ac:dyDescent="0.3">
      <c r="A153" s="64" t="s">
        <v>848</v>
      </c>
      <c r="B153" s="459">
        <f>B154</f>
        <v>3789000</v>
      </c>
      <c r="C153" s="459">
        <f t="shared" ref="C153:D153" si="56">C154</f>
        <v>3978450</v>
      </c>
      <c r="D153" s="459">
        <f t="shared" si="56"/>
        <v>4177372.5</v>
      </c>
    </row>
    <row r="154" spans="1:4" ht="15.65" x14ac:dyDescent="0.3">
      <c r="A154" s="460" t="s">
        <v>1111</v>
      </c>
      <c r="B154" s="461">
        <v>3789000</v>
      </c>
      <c r="C154" s="425">
        <f>B154*1.05</f>
        <v>3978450</v>
      </c>
      <c r="D154" s="425">
        <f>C154*1.05</f>
        <v>4177372.5</v>
      </c>
    </row>
    <row r="155" spans="1:4" ht="15.65" x14ac:dyDescent="0.3">
      <c r="A155" s="426" t="s">
        <v>854</v>
      </c>
      <c r="B155" s="427">
        <f>SUM(B156+B157)</f>
        <v>0</v>
      </c>
      <c r="C155" s="427">
        <f t="shared" ref="C155:D155" si="57">SUM(C156+C157)</f>
        <v>0</v>
      </c>
      <c r="D155" s="427">
        <f t="shared" si="57"/>
        <v>0</v>
      </c>
    </row>
    <row r="156" spans="1:4" ht="15.65" x14ac:dyDescent="0.3">
      <c r="A156" s="423" t="s">
        <v>855</v>
      </c>
      <c r="B156" s="424">
        <v>0</v>
      </c>
      <c r="C156" s="425">
        <f>B156*1.05</f>
        <v>0</v>
      </c>
      <c r="D156" s="425">
        <f t="shared" si="50"/>
        <v>0</v>
      </c>
    </row>
    <row r="157" spans="1:4" ht="15.65" x14ac:dyDescent="0.3">
      <c r="A157" s="423" t="s">
        <v>856</v>
      </c>
      <c r="B157" s="424">
        <v>0</v>
      </c>
      <c r="C157" s="425">
        <f>B157*1.05</f>
        <v>0</v>
      </c>
      <c r="D157" s="425">
        <f t="shared" si="50"/>
        <v>0</v>
      </c>
    </row>
    <row r="158" spans="1:4" ht="15.65" x14ac:dyDescent="0.3">
      <c r="A158" s="435" t="s">
        <v>862</v>
      </c>
      <c r="B158" s="430">
        <f>SUM(B155+B153+B150+B144+B142+B138+B135)</f>
        <v>18335192</v>
      </c>
      <c r="C158" s="430">
        <f>SUM(C155+C150+C144+C142+C138+C135)</f>
        <v>15273501.6</v>
      </c>
      <c r="D158" s="430">
        <f>SUM(D155+D150+D144+D142+D138+D135)</f>
        <v>16037176.68</v>
      </c>
    </row>
    <row r="159" spans="1:4" ht="15.65" x14ac:dyDescent="0.3">
      <c r="A159" s="436" t="s">
        <v>1112</v>
      </c>
      <c r="B159" s="430">
        <f>B158</f>
        <v>18335192</v>
      </c>
      <c r="C159" s="430">
        <f>B159*1.05</f>
        <v>19251951.600000001</v>
      </c>
      <c r="D159" s="430">
        <f>C159*1.05</f>
        <v>20214549.180000003</v>
      </c>
    </row>
    <row r="160" spans="1:4" ht="15.65" x14ac:dyDescent="0.3">
      <c r="A160" s="436" t="s">
        <v>1112</v>
      </c>
      <c r="B160" s="430">
        <f>B159</f>
        <v>18335192</v>
      </c>
      <c r="C160" s="430">
        <f>B160*1.05</f>
        <v>19251951.600000001</v>
      </c>
      <c r="D160" s="430">
        <f>C160*1.05</f>
        <v>20214549.180000003</v>
      </c>
    </row>
    <row r="161" spans="1:4" ht="15.65" x14ac:dyDescent="0.3">
      <c r="A161" s="436"/>
      <c r="B161" s="430"/>
      <c r="C161" s="430"/>
      <c r="D161" s="430"/>
    </row>
    <row r="162" spans="1:4" ht="15.65" x14ac:dyDescent="0.3">
      <c r="A162" s="436"/>
      <c r="B162" s="430"/>
      <c r="C162" s="430"/>
      <c r="D162" s="430"/>
    </row>
    <row r="163" spans="1:4" ht="15.65" x14ac:dyDescent="0.3">
      <c r="A163" s="450" t="s">
        <v>1113</v>
      </c>
      <c r="B163" s="451"/>
      <c r="C163" s="451"/>
      <c r="D163" s="451"/>
    </row>
    <row r="164" spans="1:4" ht="15.65" customHeight="1" x14ac:dyDescent="0.35">
      <c r="A164" s="842" t="s">
        <v>803</v>
      </c>
      <c r="B164" s="417" t="s">
        <v>1066</v>
      </c>
      <c r="C164" s="843" t="s">
        <v>805</v>
      </c>
      <c r="D164" s="843"/>
    </row>
    <row r="165" spans="1:4" x14ac:dyDescent="0.35">
      <c r="A165" s="842"/>
      <c r="B165" s="419" t="s">
        <v>1067</v>
      </c>
      <c r="C165" s="420" t="s">
        <v>806</v>
      </c>
      <c r="D165" s="420" t="s">
        <v>807</v>
      </c>
    </row>
    <row r="166" spans="1:4" ht="15.65" x14ac:dyDescent="0.3">
      <c r="A166" s="421" t="s">
        <v>820</v>
      </c>
      <c r="B166" s="422">
        <f>SUM(B167)</f>
        <v>795000</v>
      </c>
      <c r="C166" s="422">
        <f t="shared" ref="C166:D166" si="58">SUM(C167)</f>
        <v>834750</v>
      </c>
      <c r="D166" s="422">
        <f t="shared" si="58"/>
        <v>876487.5</v>
      </c>
    </row>
    <row r="167" spans="1:4" ht="15.65" x14ac:dyDescent="0.3">
      <c r="A167" s="423" t="s">
        <v>821</v>
      </c>
      <c r="B167" s="424">
        <v>795000</v>
      </c>
      <c r="C167" s="425">
        <f>B167*1.05</f>
        <v>834750</v>
      </c>
      <c r="D167" s="425">
        <f t="shared" ref="D167:D194" si="59">1.05*C167</f>
        <v>876487.5</v>
      </c>
    </row>
    <row r="168" spans="1:4" ht="15.65" x14ac:dyDescent="0.3">
      <c r="A168" s="426" t="s">
        <v>822</v>
      </c>
      <c r="B168" s="427">
        <f>SUM(B169+B171+B170)</f>
        <v>8347715</v>
      </c>
      <c r="C168" s="427">
        <f t="shared" ref="C168:D168" si="60">SUM(C169+C171+C170)</f>
        <v>8765100.75</v>
      </c>
      <c r="D168" s="427">
        <f t="shared" si="60"/>
        <v>9203355.7875000015</v>
      </c>
    </row>
    <row r="169" spans="1:4" ht="15.65" x14ac:dyDescent="0.3">
      <c r="A169" s="423" t="s">
        <v>823</v>
      </c>
      <c r="B169" s="424">
        <v>150000</v>
      </c>
      <c r="C169" s="425">
        <f>B169*1.05</f>
        <v>157500</v>
      </c>
      <c r="D169" s="425">
        <f t="shared" si="59"/>
        <v>165375</v>
      </c>
    </row>
    <row r="170" spans="1:4" ht="15.65" x14ac:dyDescent="0.3">
      <c r="A170" s="423" t="s">
        <v>825</v>
      </c>
      <c r="B170" s="424">
        <f>6861960-1500000</f>
        <v>5361960</v>
      </c>
      <c r="C170" s="425">
        <f>B170*1.05</f>
        <v>5630058</v>
      </c>
      <c r="D170" s="425">
        <f t="shared" si="59"/>
        <v>5911560.9000000004</v>
      </c>
    </row>
    <row r="171" spans="1:4" ht="15.65" x14ac:dyDescent="0.3">
      <c r="A171" s="423" t="s">
        <v>826</v>
      </c>
      <c r="B171" s="424">
        <f>2044405+791350</f>
        <v>2835755</v>
      </c>
      <c r="C171" s="425">
        <f>B171*1.05</f>
        <v>2977542.75</v>
      </c>
      <c r="D171" s="425">
        <f t="shared" si="59"/>
        <v>3126419.8875000002</v>
      </c>
    </row>
    <row r="172" spans="1:4" ht="15.65" x14ac:dyDescent="0.3">
      <c r="A172" s="426" t="s">
        <v>830</v>
      </c>
      <c r="B172" s="427">
        <f>SUM(B173)</f>
        <v>0</v>
      </c>
      <c r="C172" s="427">
        <f t="shared" ref="C172:D172" si="61">SUM(C173)</f>
        <v>0</v>
      </c>
      <c r="D172" s="427">
        <f t="shared" si="61"/>
        <v>0</v>
      </c>
    </row>
    <row r="173" spans="1:4" ht="16.25" thickBot="1" x14ac:dyDescent="0.35">
      <c r="A173" s="423" t="s">
        <v>832</v>
      </c>
      <c r="B173" s="424">
        <v>0</v>
      </c>
      <c r="C173" s="425">
        <f>B173*1.05</f>
        <v>0</v>
      </c>
      <c r="D173" s="425">
        <f t="shared" si="59"/>
        <v>0</v>
      </c>
    </row>
    <row r="174" spans="1:4" ht="16.25" thickBot="1" x14ac:dyDescent="0.35">
      <c r="A174" s="429" t="s">
        <v>1086</v>
      </c>
      <c r="B174" s="430">
        <f>B175+B176+B177+B178+B179</f>
        <v>1035000</v>
      </c>
      <c r="C174" s="430">
        <f t="shared" ref="C174:D174" si="62">C175+C176+C177+C178+C179</f>
        <v>1086750</v>
      </c>
      <c r="D174" s="430">
        <f t="shared" si="62"/>
        <v>1141087.5</v>
      </c>
    </row>
    <row r="175" spans="1:4" ht="16.25" thickBot="1" x14ac:dyDescent="0.35">
      <c r="A175" s="431" t="s">
        <v>1087</v>
      </c>
      <c r="B175" s="424"/>
      <c r="C175" s="425">
        <f>B175*1.05</f>
        <v>0</v>
      </c>
      <c r="D175" s="425">
        <f>C175*1.05</f>
        <v>0</v>
      </c>
    </row>
    <row r="176" spans="1:4" ht="16.25" thickBot="1" x14ac:dyDescent="0.35">
      <c r="A176" s="431" t="s">
        <v>1088</v>
      </c>
      <c r="B176" s="424"/>
      <c r="C176" s="425">
        <f t="shared" ref="C176:D179" si="63">B176*1.05</f>
        <v>0</v>
      </c>
      <c r="D176" s="425">
        <f t="shared" si="63"/>
        <v>0</v>
      </c>
    </row>
    <row r="177" spans="1:4" ht="16.25" thickBot="1" x14ac:dyDescent="0.35">
      <c r="A177" s="431" t="s">
        <v>1089</v>
      </c>
      <c r="B177" s="424"/>
      <c r="C177" s="425">
        <f t="shared" si="63"/>
        <v>0</v>
      </c>
      <c r="D177" s="425">
        <f t="shared" si="63"/>
        <v>0</v>
      </c>
    </row>
    <row r="178" spans="1:4" ht="16.25" thickBot="1" x14ac:dyDescent="0.35">
      <c r="A178" s="431" t="s">
        <v>1090</v>
      </c>
      <c r="B178" s="424">
        <v>1035000</v>
      </c>
      <c r="C178" s="425">
        <f t="shared" si="63"/>
        <v>1086750</v>
      </c>
      <c r="D178" s="425">
        <f t="shared" si="63"/>
        <v>1141087.5</v>
      </c>
    </row>
    <row r="179" spans="1:4" ht="16.25" thickBot="1" x14ac:dyDescent="0.35">
      <c r="A179" s="431" t="s">
        <v>1091</v>
      </c>
      <c r="B179" s="424"/>
      <c r="C179" s="425">
        <f t="shared" si="63"/>
        <v>0</v>
      </c>
      <c r="D179" s="425">
        <f t="shared" si="63"/>
        <v>0</v>
      </c>
    </row>
    <row r="180" spans="1:4" ht="15.65" x14ac:dyDescent="0.3">
      <c r="A180" s="426" t="s">
        <v>836</v>
      </c>
      <c r="B180" s="427">
        <f>SUM(B181+B182)</f>
        <v>3751950</v>
      </c>
      <c r="C180" s="427">
        <f t="shared" ref="C180:D180" si="64">SUM(C181+C182)</f>
        <v>3939547.5</v>
      </c>
      <c r="D180" s="427">
        <f t="shared" si="64"/>
        <v>4136524.875</v>
      </c>
    </row>
    <row r="181" spans="1:4" ht="15.65" x14ac:dyDescent="0.3">
      <c r="A181" s="423" t="s">
        <v>837</v>
      </c>
      <c r="B181" s="424">
        <v>1088200</v>
      </c>
      <c r="C181" s="425">
        <f>B181*1.05</f>
        <v>1142610</v>
      </c>
      <c r="D181" s="425">
        <f t="shared" si="59"/>
        <v>1199740.5</v>
      </c>
    </row>
    <row r="182" spans="1:4" ht="15.65" x14ac:dyDescent="0.3">
      <c r="A182" s="423" t="s">
        <v>838</v>
      </c>
      <c r="B182" s="424">
        <v>2663750</v>
      </c>
      <c r="C182" s="425">
        <f>B182*1.05</f>
        <v>2796937.5</v>
      </c>
      <c r="D182" s="425">
        <f t="shared" si="59"/>
        <v>2936784.375</v>
      </c>
    </row>
    <row r="183" spans="1:4" ht="15.65" x14ac:dyDescent="0.3">
      <c r="A183" s="426" t="s">
        <v>843</v>
      </c>
      <c r="B183" s="430">
        <f>B184</f>
        <v>1479182</v>
      </c>
      <c r="C183" s="427">
        <f>B183*1.05</f>
        <v>1553141.1</v>
      </c>
      <c r="D183" s="427">
        <f>C183*1.05</f>
        <v>1630798.1550000003</v>
      </c>
    </row>
    <row r="184" spans="1:4" ht="15.65" x14ac:dyDescent="0.3">
      <c r="A184" s="423" t="s">
        <v>844</v>
      </c>
      <c r="B184" s="424">
        <v>1479182</v>
      </c>
      <c r="C184" s="425">
        <f>B184*1.05</f>
        <v>1553141.1</v>
      </c>
      <c r="D184" s="425">
        <f>C184*1.05</f>
        <v>1630798.1550000003</v>
      </c>
    </row>
    <row r="185" spans="1:4" ht="15.65" x14ac:dyDescent="0.3">
      <c r="A185" s="426" t="s">
        <v>846</v>
      </c>
      <c r="B185" s="430">
        <f>B186</f>
        <v>198000</v>
      </c>
      <c r="C185" s="430">
        <f t="shared" ref="C185:D185" si="65">C186</f>
        <v>207900</v>
      </c>
      <c r="D185" s="430">
        <f t="shared" si="65"/>
        <v>218295</v>
      </c>
    </row>
    <row r="186" spans="1:4" ht="15.65" x14ac:dyDescent="0.3">
      <c r="A186" s="432" t="s">
        <v>847</v>
      </c>
      <c r="B186" s="424">
        <v>198000</v>
      </c>
      <c r="C186" s="425">
        <f>B186*1.05</f>
        <v>207900</v>
      </c>
      <c r="D186" s="425">
        <f>C186*1.05</f>
        <v>218295</v>
      </c>
    </row>
    <row r="187" spans="1:4" ht="15.65" x14ac:dyDescent="0.3">
      <c r="A187" s="64" t="s">
        <v>848</v>
      </c>
      <c r="B187" s="430">
        <f>B188</f>
        <v>1327300</v>
      </c>
      <c r="C187" s="430">
        <f t="shared" ref="C187:D187" si="66">C188</f>
        <v>1393665</v>
      </c>
      <c r="D187" s="430">
        <f t="shared" si="66"/>
        <v>1463348.25</v>
      </c>
    </row>
    <row r="188" spans="1:4" ht="15.65" x14ac:dyDescent="0.3">
      <c r="A188" s="460" t="s">
        <v>1111</v>
      </c>
      <c r="B188" s="424">
        <v>1327300</v>
      </c>
      <c r="C188" s="425">
        <f>B188*1.05</f>
        <v>1393665</v>
      </c>
      <c r="D188" s="425">
        <f>C188*1.05</f>
        <v>1463348.25</v>
      </c>
    </row>
    <row r="189" spans="1:4" ht="15.65" x14ac:dyDescent="0.3">
      <c r="A189" s="426" t="s">
        <v>877</v>
      </c>
      <c r="B189" s="430">
        <f>B190+B191</f>
        <v>100000</v>
      </c>
      <c r="C189" s="430">
        <f t="shared" ref="C189:D189" si="67">C190+C191</f>
        <v>105000</v>
      </c>
      <c r="D189" s="430">
        <f t="shared" si="67"/>
        <v>110250</v>
      </c>
    </row>
    <row r="190" spans="1:4" ht="15.65" x14ac:dyDescent="0.3">
      <c r="A190" s="423" t="s">
        <v>879</v>
      </c>
      <c r="B190" s="424"/>
      <c r="C190" s="425">
        <f>B190*1.05</f>
        <v>0</v>
      </c>
      <c r="D190" s="425">
        <f>C190*1.05</f>
        <v>0</v>
      </c>
    </row>
    <row r="191" spans="1:4" ht="15.65" x14ac:dyDescent="0.3">
      <c r="A191" s="423" t="s">
        <v>880</v>
      </c>
      <c r="B191" s="424">
        <v>100000</v>
      </c>
      <c r="C191" s="425">
        <f>B191*1.05</f>
        <v>105000</v>
      </c>
      <c r="D191" s="425">
        <f>C191*1.05</f>
        <v>110250</v>
      </c>
    </row>
    <row r="192" spans="1:4" ht="15.65" x14ac:dyDescent="0.3">
      <c r="A192" s="426" t="s">
        <v>854</v>
      </c>
      <c r="B192" s="427">
        <f>SUM(B193+B194)</f>
        <v>490000</v>
      </c>
      <c r="C192" s="427">
        <f>SUM(C193+C194)</f>
        <v>514500</v>
      </c>
      <c r="D192" s="427">
        <f t="shared" ref="D192" si="68">SUM(D193+D194)</f>
        <v>540225</v>
      </c>
    </row>
    <row r="193" spans="1:7" ht="15.65" x14ac:dyDescent="0.3">
      <c r="A193" s="423" t="s">
        <v>855</v>
      </c>
      <c r="B193" s="424">
        <v>0</v>
      </c>
      <c r="C193" s="425">
        <f>B193*1.05</f>
        <v>0</v>
      </c>
      <c r="D193" s="425">
        <f t="shared" si="59"/>
        <v>0</v>
      </c>
    </row>
    <row r="194" spans="1:7" ht="15.65" x14ac:dyDescent="0.3">
      <c r="A194" s="423" t="s">
        <v>856</v>
      </c>
      <c r="B194" s="424">
        <v>490000</v>
      </c>
      <c r="C194" s="425">
        <f>B194*1.05</f>
        <v>514500</v>
      </c>
      <c r="D194" s="425">
        <f t="shared" si="59"/>
        <v>540225</v>
      </c>
    </row>
    <row r="195" spans="1:7" ht="15.65" x14ac:dyDescent="0.3">
      <c r="A195" s="435" t="s">
        <v>862</v>
      </c>
      <c r="B195" s="430">
        <f>SUM(B192+B189+B187+B185+B183+B180+B174+B172+B168+B166)</f>
        <v>17524147</v>
      </c>
      <c r="C195" s="430">
        <f t="shared" ref="C195:D195" si="69">SUM(C192+C180+C174+C172+C168+C166)</f>
        <v>15140648.25</v>
      </c>
      <c r="D195" s="430">
        <f t="shared" si="69"/>
        <v>15897680.662500001</v>
      </c>
    </row>
    <row r="196" spans="1:7" ht="15.65" x14ac:dyDescent="0.3">
      <c r="A196" s="436" t="s">
        <v>1112</v>
      </c>
      <c r="B196" s="430">
        <f>B195</f>
        <v>17524147</v>
      </c>
      <c r="C196" s="430">
        <v>19024147</v>
      </c>
      <c r="D196" s="430">
        <v>19975354</v>
      </c>
    </row>
    <row r="197" spans="1:7" ht="15.65" x14ac:dyDescent="0.3">
      <c r="A197" s="436" t="s">
        <v>1112</v>
      </c>
      <c r="B197" s="430">
        <f>B196</f>
        <v>17524147</v>
      </c>
      <c r="C197" s="430">
        <v>19024147</v>
      </c>
      <c r="D197" s="430">
        <v>19975354</v>
      </c>
    </row>
    <row r="198" spans="1:7" ht="15.65" x14ac:dyDescent="0.3">
      <c r="A198" s="436"/>
      <c r="B198" s="430"/>
      <c r="C198" s="430"/>
      <c r="D198" s="430"/>
      <c r="G198" s="6">
        <v>19024147</v>
      </c>
    </row>
    <row r="199" spans="1:7" ht="15.65" x14ac:dyDescent="0.3">
      <c r="A199" s="436"/>
      <c r="B199" s="430"/>
      <c r="C199" s="430"/>
      <c r="D199" s="430"/>
      <c r="G199" s="458">
        <f>G198-B197</f>
        <v>1500000</v>
      </c>
    </row>
    <row r="200" spans="1:7" ht="15.65" x14ac:dyDescent="0.3">
      <c r="A200" s="450" t="s">
        <v>1114</v>
      </c>
      <c r="B200" s="451"/>
      <c r="C200" s="451"/>
      <c r="D200" s="451"/>
    </row>
    <row r="201" spans="1:7" ht="15.65" customHeight="1" x14ac:dyDescent="0.35">
      <c r="A201" s="842" t="s">
        <v>803</v>
      </c>
      <c r="B201" s="417" t="s">
        <v>1066</v>
      </c>
      <c r="C201" s="843" t="s">
        <v>805</v>
      </c>
      <c r="D201" s="843"/>
    </row>
    <row r="202" spans="1:7" x14ac:dyDescent="0.35">
      <c r="A202" s="842"/>
      <c r="B202" s="419" t="s">
        <v>1067</v>
      </c>
      <c r="C202" s="420" t="s">
        <v>806</v>
      </c>
      <c r="D202" s="420" t="s">
        <v>807</v>
      </c>
    </row>
    <row r="203" spans="1:7" ht="15.65" x14ac:dyDescent="0.3">
      <c r="A203" s="421" t="s">
        <v>820</v>
      </c>
      <c r="B203" s="422">
        <f>SUM(B204+B205)</f>
        <v>528000</v>
      </c>
      <c r="C203" s="422">
        <f t="shared" ref="C203:D203" si="70">SUM(C204+C205)</f>
        <v>554400</v>
      </c>
      <c r="D203" s="422">
        <f t="shared" si="70"/>
        <v>582120</v>
      </c>
    </row>
    <row r="204" spans="1:7" ht="15.65" x14ac:dyDescent="0.3">
      <c r="A204" s="423" t="s">
        <v>821</v>
      </c>
      <c r="B204" s="424">
        <v>528000</v>
      </c>
      <c r="C204" s="425">
        <f>B204*1.05</f>
        <v>554400</v>
      </c>
      <c r="D204" s="425">
        <f t="shared" ref="D204:D233" si="71">1.05*C204</f>
        <v>582120</v>
      </c>
    </row>
    <row r="205" spans="1:7" ht="15.65" x14ac:dyDescent="0.3">
      <c r="A205" s="423" t="s">
        <v>1080</v>
      </c>
      <c r="B205" s="424">
        <v>0</v>
      </c>
      <c r="C205" s="425">
        <f>B205*1.05</f>
        <v>0</v>
      </c>
      <c r="D205" s="425">
        <f t="shared" si="71"/>
        <v>0</v>
      </c>
    </row>
    <row r="206" spans="1:7" ht="15.65" x14ac:dyDescent="0.3">
      <c r="A206" s="426" t="s">
        <v>822</v>
      </c>
      <c r="B206" s="427">
        <f>SUM(B207+B208+B209)</f>
        <v>7795375</v>
      </c>
      <c r="C206" s="427">
        <f t="shared" ref="C206:D206" si="72">SUM(C207+C208+C209)</f>
        <v>8185143.75</v>
      </c>
      <c r="D206" s="427">
        <f t="shared" si="72"/>
        <v>8594400.9375</v>
      </c>
    </row>
    <row r="207" spans="1:7" ht="15.65" x14ac:dyDescent="0.3">
      <c r="A207" s="423" t="s">
        <v>823</v>
      </c>
      <c r="B207" s="424">
        <v>54000</v>
      </c>
      <c r="C207" s="425">
        <f>B207*1.05</f>
        <v>56700</v>
      </c>
      <c r="D207" s="425">
        <f t="shared" si="71"/>
        <v>59535</v>
      </c>
    </row>
    <row r="208" spans="1:7" ht="15.65" x14ac:dyDescent="0.3">
      <c r="A208" s="423" t="s">
        <v>824</v>
      </c>
      <c r="B208" s="424">
        <v>1687000</v>
      </c>
      <c r="C208" s="425">
        <f t="shared" ref="C208:C209" si="73">B208*1.05</f>
        <v>1771350</v>
      </c>
      <c r="D208" s="425">
        <f t="shared" si="71"/>
        <v>1859917.5</v>
      </c>
    </row>
    <row r="209" spans="1:4" ht="16.25" thickBot="1" x14ac:dyDescent="0.35">
      <c r="A209" s="423" t="s">
        <v>826</v>
      </c>
      <c r="B209" s="424">
        <f>8054375-2000000</f>
        <v>6054375</v>
      </c>
      <c r="C209" s="425">
        <f t="shared" si="73"/>
        <v>6357093.75</v>
      </c>
      <c r="D209" s="425">
        <f t="shared" si="71"/>
        <v>6674948.4375</v>
      </c>
    </row>
    <row r="210" spans="1:4" ht="16.25" thickBot="1" x14ac:dyDescent="0.35">
      <c r="A210" s="429" t="s">
        <v>1086</v>
      </c>
      <c r="B210" s="430">
        <f>B211+B212+B213+B214+B215</f>
        <v>3878000</v>
      </c>
      <c r="C210" s="430">
        <f t="shared" ref="C210:D210" si="74">C211+C212+C213+C214+C215</f>
        <v>4071900</v>
      </c>
      <c r="D210" s="430">
        <f t="shared" si="74"/>
        <v>4275495</v>
      </c>
    </row>
    <row r="211" spans="1:4" ht="16.25" thickBot="1" x14ac:dyDescent="0.35">
      <c r="A211" s="431" t="s">
        <v>1087</v>
      </c>
      <c r="B211" s="424">
        <v>226000</v>
      </c>
      <c r="C211" s="425">
        <f>B211*1.05</f>
        <v>237300</v>
      </c>
      <c r="D211" s="425">
        <f>C211*1.05</f>
        <v>249165</v>
      </c>
    </row>
    <row r="212" spans="1:4" ht="16.25" thickBot="1" x14ac:dyDescent="0.35">
      <c r="A212" s="431" t="s">
        <v>1088</v>
      </c>
      <c r="B212" s="424"/>
      <c r="C212" s="425">
        <f t="shared" ref="C212:D215" si="75">B212*1.05</f>
        <v>0</v>
      </c>
      <c r="D212" s="425">
        <f t="shared" si="75"/>
        <v>0</v>
      </c>
    </row>
    <row r="213" spans="1:4" ht="16.25" thickBot="1" x14ac:dyDescent="0.35">
      <c r="A213" s="431" t="s">
        <v>1089</v>
      </c>
      <c r="B213" s="424"/>
      <c r="C213" s="425">
        <f t="shared" si="75"/>
        <v>0</v>
      </c>
      <c r="D213" s="425">
        <f t="shared" si="75"/>
        <v>0</v>
      </c>
    </row>
    <row r="214" spans="1:4" ht="16.25" thickBot="1" x14ac:dyDescent="0.35">
      <c r="A214" s="431" t="s">
        <v>1090</v>
      </c>
      <c r="B214" s="424">
        <v>1663200</v>
      </c>
      <c r="C214" s="425">
        <f t="shared" si="75"/>
        <v>1746360</v>
      </c>
      <c r="D214" s="425">
        <f t="shared" si="75"/>
        <v>1833678</v>
      </c>
    </row>
    <row r="215" spans="1:4" ht="16.25" thickBot="1" x14ac:dyDescent="0.35">
      <c r="A215" s="431" t="s">
        <v>1091</v>
      </c>
      <c r="B215" s="424">
        <v>1988800</v>
      </c>
      <c r="C215" s="425">
        <f t="shared" si="75"/>
        <v>2088240</v>
      </c>
      <c r="D215" s="425">
        <f t="shared" si="75"/>
        <v>2192652</v>
      </c>
    </row>
    <row r="216" spans="1:4" ht="15.65" x14ac:dyDescent="0.3">
      <c r="A216" s="426" t="s">
        <v>836</v>
      </c>
      <c r="B216" s="427">
        <f>SUM(B217+B218)</f>
        <v>1995940</v>
      </c>
      <c r="C216" s="427">
        <f t="shared" ref="C216:D216" si="76">SUM(C217+C218)</f>
        <v>2095737</v>
      </c>
      <c r="D216" s="427">
        <f t="shared" si="76"/>
        <v>2200523.85</v>
      </c>
    </row>
    <row r="217" spans="1:4" ht="15.65" x14ac:dyDescent="0.3">
      <c r="A217" s="423" t="s">
        <v>837</v>
      </c>
      <c r="B217" s="424">
        <v>974540</v>
      </c>
      <c r="C217" s="425">
        <f>B217*1.05</f>
        <v>1023267</v>
      </c>
      <c r="D217" s="425">
        <f t="shared" si="71"/>
        <v>1074430.3500000001</v>
      </c>
    </row>
    <row r="218" spans="1:4" ht="15.65" x14ac:dyDescent="0.3">
      <c r="A218" s="423" t="s">
        <v>838</v>
      </c>
      <c r="B218" s="424">
        <v>1021400</v>
      </c>
      <c r="C218" s="425">
        <f>B218*1.05</f>
        <v>1072470</v>
      </c>
      <c r="D218" s="425">
        <f t="shared" si="71"/>
        <v>1126093.5</v>
      </c>
    </row>
    <row r="219" spans="1:4" ht="15.65" x14ac:dyDescent="0.3">
      <c r="A219" s="426" t="s">
        <v>843</v>
      </c>
      <c r="B219" s="427">
        <f>B220+B221</f>
        <v>28500</v>
      </c>
      <c r="C219" s="427">
        <f t="shared" ref="C219:D219" si="77">C220+C221</f>
        <v>29925</v>
      </c>
      <c r="D219" s="427">
        <f t="shared" si="77"/>
        <v>31421.25</v>
      </c>
    </row>
    <row r="220" spans="1:4" ht="15.65" x14ac:dyDescent="0.3">
      <c r="A220" s="423" t="s">
        <v>844</v>
      </c>
      <c r="B220" s="424">
        <v>0</v>
      </c>
      <c r="C220" s="425">
        <f>B220*1.05</f>
        <v>0</v>
      </c>
      <c r="D220" s="425">
        <f t="shared" si="71"/>
        <v>0</v>
      </c>
    </row>
    <row r="221" spans="1:4" ht="15.65" x14ac:dyDescent="0.3">
      <c r="A221" s="423" t="s">
        <v>1093</v>
      </c>
      <c r="B221" s="424">
        <v>28500</v>
      </c>
      <c r="C221" s="425">
        <f>B221*1.05</f>
        <v>29925</v>
      </c>
      <c r="D221" s="425">
        <f t="shared" si="71"/>
        <v>31421.25</v>
      </c>
    </row>
    <row r="222" spans="1:4" ht="15.65" x14ac:dyDescent="0.3">
      <c r="A222" s="426" t="s">
        <v>848</v>
      </c>
      <c r="B222" s="427">
        <f>SUM(B223+B224)</f>
        <v>121000</v>
      </c>
      <c r="C222" s="427">
        <f t="shared" ref="C222:D222" si="78">SUM(C223+C224)</f>
        <v>127050</v>
      </c>
      <c r="D222" s="427">
        <f t="shared" si="78"/>
        <v>133402.5</v>
      </c>
    </row>
    <row r="223" spans="1:4" ht="15.65" x14ac:dyDescent="0.3">
      <c r="A223" s="423" t="s">
        <v>849</v>
      </c>
      <c r="B223" s="424">
        <v>121000</v>
      </c>
      <c r="C223" s="425">
        <f>B223*1.05</f>
        <v>127050</v>
      </c>
      <c r="D223" s="425">
        <f t="shared" si="71"/>
        <v>133402.5</v>
      </c>
    </row>
    <row r="224" spans="1:4" ht="15.65" x14ac:dyDescent="0.3">
      <c r="A224" s="423" t="s">
        <v>1115</v>
      </c>
      <c r="B224" s="452">
        <v>0</v>
      </c>
      <c r="C224" s="425">
        <f>B224*1.05</f>
        <v>0</v>
      </c>
      <c r="D224" s="425">
        <f t="shared" si="71"/>
        <v>0</v>
      </c>
    </row>
    <row r="225" spans="1:7" ht="15.65" x14ac:dyDescent="0.3">
      <c r="A225" s="426" t="s">
        <v>877</v>
      </c>
      <c r="B225" s="427">
        <f>SUM(B226+B227+B228)</f>
        <v>2067652</v>
      </c>
      <c r="C225" s="427">
        <f t="shared" ref="C225:D225" si="79">SUM(C226+C227+C228)</f>
        <v>2171034.6</v>
      </c>
      <c r="D225" s="427">
        <f t="shared" si="79"/>
        <v>2279586.33</v>
      </c>
    </row>
    <row r="226" spans="1:7" ht="15.65" x14ac:dyDescent="0.3">
      <c r="A226" s="423" t="s">
        <v>878</v>
      </c>
      <c r="B226" s="424">
        <v>100000</v>
      </c>
      <c r="C226" s="425">
        <f>B226*1.05</f>
        <v>105000</v>
      </c>
      <c r="D226" s="425">
        <f t="shared" si="71"/>
        <v>110250</v>
      </c>
    </row>
    <row r="227" spans="1:7" ht="15.65" x14ac:dyDescent="0.3">
      <c r="A227" s="423" t="s">
        <v>879</v>
      </c>
      <c r="B227" s="424">
        <v>0</v>
      </c>
      <c r="C227" s="425">
        <f t="shared" ref="C227:C228" si="80">B227*1.05</f>
        <v>0</v>
      </c>
      <c r="D227" s="425">
        <f t="shared" si="71"/>
        <v>0</v>
      </c>
    </row>
    <row r="228" spans="1:7" ht="15.65" x14ac:dyDescent="0.3">
      <c r="A228" s="423" t="s">
        <v>880</v>
      </c>
      <c r="B228" s="424">
        <v>1967652</v>
      </c>
      <c r="C228" s="425">
        <f t="shared" si="80"/>
        <v>2066034.6</v>
      </c>
      <c r="D228" s="425">
        <f t="shared" si="71"/>
        <v>2169336.33</v>
      </c>
    </row>
    <row r="229" spans="1:7" ht="15.65" x14ac:dyDescent="0.3">
      <c r="A229" s="426" t="s">
        <v>854</v>
      </c>
      <c r="B229" s="427">
        <f>SUM(B230)</f>
        <v>200000</v>
      </c>
      <c r="C229" s="427">
        <f t="shared" ref="C229:D229" si="81">SUM(C230)</f>
        <v>210000</v>
      </c>
      <c r="D229" s="427">
        <f t="shared" si="81"/>
        <v>220500</v>
      </c>
    </row>
    <row r="230" spans="1:7" ht="15.65" x14ac:dyDescent="0.3">
      <c r="A230" s="423" t="s">
        <v>856</v>
      </c>
      <c r="B230" s="424">
        <v>200000</v>
      </c>
      <c r="C230" s="425">
        <f>B230*1.05</f>
        <v>210000</v>
      </c>
      <c r="D230" s="425">
        <f t="shared" si="71"/>
        <v>220500</v>
      </c>
    </row>
    <row r="231" spans="1:7" ht="15.65" x14ac:dyDescent="0.3">
      <c r="A231" s="435" t="s">
        <v>862</v>
      </c>
      <c r="B231" s="430">
        <f>SUM(B229+B225+B222+B219+B216+B210+B206+B203)</f>
        <v>16614467</v>
      </c>
      <c r="C231" s="430">
        <f t="shared" ref="C231:D231" si="82">SUM(C229+C225+C222+C219+C216+C210+C206+C203)</f>
        <v>17445190.350000001</v>
      </c>
      <c r="D231" s="430">
        <f t="shared" si="82"/>
        <v>18317449.8675</v>
      </c>
      <c r="G231" s="6">
        <v>18614467</v>
      </c>
    </row>
    <row r="232" spans="1:7" ht="15.65" x14ac:dyDescent="0.3">
      <c r="A232" s="436" t="s">
        <v>1112</v>
      </c>
      <c r="B232" s="430">
        <f>B231</f>
        <v>16614467</v>
      </c>
      <c r="C232" s="427">
        <f>B232*1.05</f>
        <v>17445190.350000001</v>
      </c>
      <c r="D232" s="427">
        <f t="shared" si="71"/>
        <v>18317449.867500003</v>
      </c>
      <c r="G232" s="458">
        <f>G231-B231</f>
        <v>2000000</v>
      </c>
    </row>
    <row r="233" spans="1:7" ht="15.65" x14ac:dyDescent="0.3">
      <c r="A233" s="436" t="s">
        <v>1112</v>
      </c>
      <c r="B233" s="430">
        <f>B232</f>
        <v>16614467</v>
      </c>
      <c r="C233" s="427">
        <f>B233*1.05</f>
        <v>17445190.350000001</v>
      </c>
      <c r="D233" s="427">
        <f t="shared" si="71"/>
        <v>18317449.867500003</v>
      </c>
    </row>
    <row r="234" spans="1:7" ht="15.65" x14ac:dyDescent="0.3">
      <c r="A234" s="436"/>
      <c r="B234" s="430"/>
      <c r="C234" s="430"/>
      <c r="D234" s="430"/>
    </row>
    <row r="235" spans="1:7" ht="15.65" x14ac:dyDescent="0.3">
      <c r="A235" s="436"/>
      <c r="B235" s="430"/>
      <c r="C235" s="430"/>
      <c r="D235" s="430"/>
    </row>
    <row r="236" spans="1:7" ht="15.65" x14ac:dyDescent="0.3">
      <c r="A236" s="426" t="s">
        <v>1116</v>
      </c>
      <c r="B236" s="430"/>
      <c r="C236" s="430"/>
      <c r="D236" s="430"/>
    </row>
    <row r="237" spans="1:7" ht="15.65" customHeight="1" x14ac:dyDescent="0.35">
      <c r="A237" s="842" t="s">
        <v>803</v>
      </c>
      <c r="B237" s="417" t="s">
        <v>1066</v>
      </c>
      <c r="C237" s="843" t="s">
        <v>805</v>
      </c>
      <c r="D237" s="843"/>
    </row>
    <row r="238" spans="1:7" x14ac:dyDescent="0.35">
      <c r="A238" s="842"/>
      <c r="B238" s="419" t="s">
        <v>1067</v>
      </c>
      <c r="C238" s="420" t="s">
        <v>806</v>
      </c>
      <c r="D238" s="420" t="s">
        <v>807</v>
      </c>
    </row>
    <row r="239" spans="1:7" ht="15.65" x14ac:dyDescent="0.3">
      <c r="A239" s="426" t="s">
        <v>820</v>
      </c>
      <c r="B239" s="427">
        <f>SUM(B240+B241)</f>
        <v>2532000</v>
      </c>
      <c r="C239" s="427">
        <f t="shared" ref="C239:D239" si="83">SUM(C240+C241)</f>
        <v>2658600</v>
      </c>
      <c r="D239" s="427">
        <f t="shared" si="83"/>
        <v>2791530</v>
      </c>
    </row>
    <row r="240" spans="1:7" ht="15.65" x14ac:dyDescent="0.3">
      <c r="A240" s="423" t="s">
        <v>821</v>
      </c>
      <c r="B240" s="424">
        <v>1020000</v>
      </c>
      <c r="C240" s="425">
        <f>B240*1.05</f>
        <v>1071000</v>
      </c>
      <c r="D240" s="425">
        <f t="shared" ref="D240:D263" si="84">1.05*C240</f>
        <v>1124550</v>
      </c>
    </row>
    <row r="241" spans="1:4" ht="15.65" x14ac:dyDescent="0.3">
      <c r="A241" s="423" t="s">
        <v>1080</v>
      </c>
      <c r="B241" s="424">
        <v>1512000</v>
      </c>
      <c r="C241" s="425">
        <f>B241*1.05</f>
        <v>1587600</v>
      </c>
      <c r="D241" s="425">
        <f t="shared" si="84"/>
        <v>1666980</v>
      </c>
    </row>
    <row r="242" spans="1:4" ht="15.65" x14ac:dyDescent="0.3">
      <c r="A242" s="426" t="s">
        <v>822</v>
      </c>
      <c r="B242" s="427">
        <f>SUM(B243+B244)</f>
        <v>19487906</v>
      </c>
      <c r="C242" s="427">
        <f t="shared" ref="C242:D242" si="85">SUM(C243+C244)</f>
        <v>20462301.300000001</v>
      </c>
      <c r="D242" s="427">
        <f t="shared" si="85"/>
        <v>21485416.365000002</v>
      </c>
    </row>
    <row r="243" spans="1:4" ht="15.65" x14ac:dyDescent="0.3">
      <c r="A243" s="423" t="s">
        <v>823</v>
      </c>
      <c r="B243" s="424">
        <f>-1041209+19398715-5000000</f>
        <v>13357506</v>
      </c>
      <c r="C243" s="425">
        <f>B243*1.05</f>
        <v>14025381.300000001</v>
      </c>
      <c r="D243" s="425">
        <f t="shared" si="84"/>
        <v>14726650.365000002</v>
      </c>
    </row>
    <row r="244" spans="1:4" ht="15.65" x14ac:dyDescent="0.3">
      <c r="A244" s="423" t="s">
        <v>826</v>
      </c>
      <c r="B244" s="424">
        <v>6130400</v>
      </c>
      <c r="C244" s="425">
        <f>B244*1.05</f>
        <v>6436920</v>
      </c>
      <c r="D244" s="425">
        <f t="shared" si="84"/>
        <v>6758766</v>
      </c>
    </row>
    <row r="245" spans="1:4" ht="15.65" x14ac:dyDescent="0.3">
      <c r="A245" s="426" t="s">
        <v>830</v>
      </c>
      <c r="B245" s="427">
        <f>SUM(B246)</f>
        <v>5382000</v>
      </c>
      <c r="C245" s="427">
        <f t="shared" ref="C245:D245" si="86">SUM(C246)</f>
        <v>5651100</v>
      </c>
      <c r="D245" s="427">
        <f t="shared" si="86"/>
        <v>5933655</v>
      </c>
    </row>
    <row r="246" spans="1:4" ht="16.25" thickBot="1" x14ac:dyDescent="0.35">
      <c r="A246" s="423" t="s">
        <v>831</v>
      </c>
      <c r="B246" s="424">
        <v>5382000</v>
      </c>
      <c r="C246" s="425">
        <f>B246*1.05</f>
        <v>5651100</v>
      </c>
      <c r="D246" s="425">
        <f t="shared" si="84"/>
        <v>5933655</v>
      </c>
    </row>
    <row r="247" spans="1:4" ht="16.25" thickBot="1" x14ac:dyDescent="0.35">
      <c r="A247" s="429" t="s">
        <v>1086</v>
      </c>
      <c r="B247" s="430">
        <f>B248+B249+B250+B251+B252</f>
        <v>1680000</v>
      </c>
      <c r="C247" s="430">
        <f t="shared" ref="C247:D247" si="87">C248+C249+C250+C251+C252</f>
        <v>1764000</v>
      </c>
      <c r="D247" s="430">
        <f t="shared" si="87"/>
        <v>1852200</v>
      </c>
    </row>
    <row r="248" spans="1:4" ht="16.25" thickBot="1" x14ac:dyDescent="0.35">
      <c r="A248" s="431" t="s">
        <v>1087</v>
      </c>
      <c r="B248" s="424"/>
      <c r="C248" s="425">
        <f>B248*1.05</f>
        <v>0</v>
      </c>
      <c r="D248" s="425">
        <f>C248*1.05</f>
        <v>0</v>
      </c>
    </row>
    <row r="249" spans="1:4" ht="16.25" thickBot="1" x14ac:dyDescent="0.35">
      <c r="A249" s="431" t="s">
        <v>1088</v>
      </c>
      <c r="B249" s="424"/>
      <c r="C249" s="425">
        <f t="shared" ref="C249:D252" si="88">B249*1.05</f>
        <v>0</v>
      </c>
      <c r="D249" s="425">
        <f t="shared" si="88"/>
        <v>0</v>
      </c>
    </row>
    <row r="250" spans="1:4" ht="16.25" thickBot="1" x14ac:dyDescent="0.35">
      <c r="A250" s="431" t="s">
        <v>1089</v>
      </c>
      <c r="B250" s="424"/>
      <c r="C250" s="425">
        <f t="shared" si="88"/>
        <v>0</v>
      </c>
      <c r="D250" s="425">
        <f t="shared" si="88"/>
        <v>0</v>
      </c>
    </row>
    <row r="251" spans="1:4" ht="16.25" thickBot="1" x14ac:dyDescent="0.35">
      <c r="A251" s="431" t="s">
        <v>1090</v>
      </c>
      <c r="B251" s="424"/>
      <c r="C251" s="425">
        <f t="shared" si="88"/>
        <v>0</v>
      </c>
      <c r="D251" s="425">
        <f t="shared" si="88"/>
        <v>0</v>
      </c>
    </row>
    <row r="252" spans="1:4" ht="16.25" thickBot="1" x14ac:dyDescent="0.35">
      <c r="A252" s="431" t="s">
        <v>1091</v>
      </c>
      <c r="B252" s="424">
        <v>1680000</v>
      </c>
      <c r="C252" s="425">
        <f t="shared" si="88"/>
        <v>1764000</v>
      </c>
      <c r="D252" s="425">
        <f t="shared" si="88"/>
        <v>1852200</v>
      </c>
    </row>
    <row r="253" spans="1:4" ht="15.65" x14ac:dyDescent="0.3">
      <c r="A253" s="426" t="s">
        <v>836</v>
      </c>
      <c r="B253" s="427">
        <f>SUM(B254+B255)</f>
        <v>2370100</v>
      </c>
      <c r="C253" s="427">
        <f t="shared" ref="C253:D253" si="89">SUM(C254+C255)</f>
        <v>2488605</v>
      </c>
      <c r="D253" s="427">
        <f t="shared" si="89"/>
        <v>2613035.25</v>
      </c>
    </row>
    <row r="254" spans="1:4" ht="15.65" x14ac:dyDescent="0.3">
      <c r="A254" s="423" t="s">
        <v>837</v>
      </c>
      <c r="B254" s="424">
        <v>750100</v>
      </c>
      <c r="C254" s="425">
        <f>B254*1.05</f>
        <v>787605</v>
      </c>
      <c r="D254" s="425">
        <f t="shared" si="84"/>
        <v>826985.25</v>
      </c>
    </row>
    <row r="255" spans="1:4" ht="15.65" x14ac:dyDescent="0.3">
      <c r="A255" s="423" t="s">
        <v>838</v>
      </c>
      <c r="B255" s="424">
        <v>1620000</v>
      </c>
      <c r="C255" s="425">
        <f>B255*1.05</f>
        <v>1701000</v>
      </c>
      <c r="D255" s="425">
        <f t="shared" si="84"/>
        <v>1786050</v>
      </c>
    </row>
    <row r="256" spans="1:4" ht="15.65" x14ac:dyDescent="0.3">
      <c r="A256" s="426" t="s">
        <v>841</v>
      </c>
      <c r="B256" s="427">
        <f>SUM(B257)</f>
        <v>1975000</v>
      </c>
      <c r="C256" s="427">
        <f t="shared" ref="C256:D256" si="90">SUM(C257)</f>
        <v>2073750</v>
      </c>
      <c r="D256" s="427">
        <f t="shared" si="90"/>
        <v>2177437.5</v>
      </c>
    </row>
    <row r="257" spans="1:4" ht="15.65" x14ac:dyDescent="0.3">
      <c r="A257" s="423" t="s">
        <v>876</v>
      </c>
      <c r="B257" s="424">
        <v>1975000</v>
      </c>
      <c r="C257" s="425">
        <f>B257*1.05</f>
        <v>2073750</v>
      </c>
      <c r="D257" s="425">
        <f t="shared" si="84"/>
        <v>2177437.5</v>
      </c>
    </row>
    <row r="258" spans="1:4" ht="15.65" x14ac:dyDescent="0.3">
      <c r="A258" s="426" t="s">
        <v>854</v>
      </c>
      <c r="B258" s="427">
        <f>SUM(B259+B260)</f>
        <v>1765000</v>
      </c>
      <c r="C258" s="427">
        <f t="shared" ref="C258:D258" si="91">SUM(C259+C260)</f>
        <v>1853250</v>
      </c>
      <c r="D258" s="427">
        <f t="shared" si="91"/>
        <v>1945912.5</v>
      </c>
    </row>
    <row r="259" spans="1:4" ht="15.65" x14ac:dyDescent="0.3">
      <c r="A259" s="423" t="s">
        <v>855</v>
      </c>
      <c r="B259" s="424">
        <v>640000</v>
      </c>
      <c r="C259" s="425">
        <f>B259*1.05</f>
        <v>672000</v>
      </c>
      <c r="D259" s="425">
        <f t="shared" si="84"/>
        <v>705600</v>
      </c>
    </row>
    <row r="260" spans="1:4" ht="15.65" x14ac:dyDescent="0.3">
      <c r="A260" s="423" t="s">
        <v>856</v>
      </c>
      <c r="B260" s="424">
        <v>1125000</v>
      </c>
      <c r="C260" s="425">
        <f>B260*1.05</f>
        <v>1181250</v>
      </c>
      <c r="D260" s="425">
        <f t="shared" si="84"/>
        <v>1240312.5</v>
      </c>
    </row>
    <row r="261" spans="1:4" ht="15.65" x14ac:dyDescent="0.3">
      <c r="A261" s="435" t="s">
        <v>862</v>
      </c>
      <c r="B261" s="430">
        <f>SUM(B258+B256+B253+B247+B245+B242+B239)</f>
        <v>35192006</v>
      </c>
      <c r="C261" s="430">
        <f t="shared" ref="C261:D261" si="92">SUM(C258+C256+C253+C247+C245+C242+C239)</f>
        <v>36951606.299999997</v>
      </c>
      <c r="D261" s="430">
        <f t="shared" si="92"/>
        <v>38799186.615000002</v>
      </c>
    </row>
    <row r="262" spans="1:4" ht="15.65" x14ac:dyDescent="0.3">
      <c r="A262" s="436" t="s">
        <v>1112</v>
      </c>
      <c r="B262" s="430">
        <f>B261</f>
        <v>35192006</v>
      </c>
      <c r="C262" s="427">
        <f>B262*1.05</f>
        <v>36951606.300000004</v>
      </c>
      <c r="D262" s="427">
        <f t="shared" si="84"/>
        <v>38799186.61500001</v>
      </c>
    </row>
    <row r="263" spans="1:4" ht="15.65" x14ac:dyDescent="0.3">
      <c r="A263" s="436" t="s">
        <v>1112</v>
      </c>
      <c r="B263" s="430">
        <f>B262</f>
        <v>35192006</v>
      </c>
      <c r="C263" s="427">
        <f>B263*1.05</f>
        <v>36951606.300000004</v>
      </c>
      <c r="D263" s="427">
        <f t="shared" si="84"/>
        <v>38799186.61500001</v>
      </c>
    </row>
    <row r="264" spans="1:4" ht="15.65" x14ac:dyDescent="0.3">
      <c r="A264" s="436"/>
      <c r="B264" s="430"/>
      <c r="C264" s="430"/>
      <c r="D264" s="430"/>
    </row>
    <row r="265" spans="1:4" ht="15.65" x14ac:dyDescent="0.3">
      <c r="A265" s="436"/>
      <c r="B265" s="430"/>
      <c r="C265" s="430"/>
      <c r="D265" s="430"/>
    </row>
    <row r="266" spans="1:4" ht="15.65" x14ac:dyDescent="0.3">
      <c r="A266" s="426" t="s">
        <v>1117</v>
      </c>
      <c r="B266" s="430"/>
      <c r="C266" s="430"/>
      <c r="D266" s="430"/>
    </row>
    <row r="267" spans="1:4" ht="15.65" customHeight="1" x14ac:dyDescent="0.35">
      <c r="A267" s="842" t="s">
        <v>803</v>
      </c>
      <c r="B267" s="417" t="s">
        <v>1066</v>
      </c>
      <c r="C267" s="843" t="s">
        <v>805</v>
      </c>
      <c r="D267" s="843"/>
    </row>
    <row r="268" spans="1:4" x14ac:dyDescent="0.35">
      <c r="A268" s="842"/>
      <c r="B268" s="419" t="s">
        <v>1067</v>
      </c>
      <c r="C268" s="420" t="s">
        <v>806</v>
      </c>
      <c r="D268" s="420" t="s">
        <v>807</v>
      </c>
    </row>
    <row r="269" spans="1:4" ht="15.65" x14ac:dyDescent="0.3">
      <c r="A269" s="426" t="s">
        <v>817</v>
      </c>
      <c r="B269" s="427">
        <f>SUM(B271+B270)</f>
        <v>0</v>
      </c>
      <c r="C269" s="427">
        <f t="shared" ref="C269:D269" si="93">SUM(C271+C270)</f>
        <v>0</v>
      </c>
      <c r="D269" s="427">
        <f t="shared" si="93"/>
        <v>0</v>
      </c>
    </row>
    <row r="270" spans="1:4" ht="15.65" x14ac:dyDescent="0.3">
      <c r="A270" s="423" t="s">
        <v>818</v>
      </c>
      <c r="B270" s="424">
        <v>0</v>
      </c>
      <c r="C270" s="425">
        <f>B270*1.05</f>
        <v>0</v>
      </c>
      <c r="D270" s="425">
        <f t="shared" ref="D270:D308" si="94">1.05*C270</f>
        <v>0</v>
      </c>
    </row>
    <row r="271" spans="1:4" ht="15.65" x14ac:dyDescent="0.3">
      <c r="A271" s="423" t="s">
        <v>819</v>
      </c>
      <c r="B271" s="424">
        <v>0</v>
      </c>
      <c r="C271" s="425">
        <f>B271*1.05</f>
        <v>0</v>
      </c>
      <c r="D271" s="425">
        <f t="shared" si="94"/>
        <v>0</v>
      </c>
    </row>
    <row r="272" spans="1:4" ht="15.65" x14ac:dyDescent="0.3">
      <c r="A272" s="426" t="s">
        <v>820</v>
      </c>
      <c r="B272" s="427">
        <f>SUM(B274+B273)</f>
        <v>648000</v>
      </c>
      <c r="C272" s="427">
        <f t="shared" ref="C272:D272" si="95">SUM(C274+C273)</f>
        <v>680400</v>
      </c>
      <c r="D272" s="427">
        <f t="shared" si="95"/>
        <v>714420</v>
      </c>
    </row>
    <row r="273" spans="1:4" ht="15.65" x14ac:dyDescent="0.3">
      <c r="A273" s="423" t="s">
        <v>821</v>
      </c>
      <c r="B273" s="424">
        <v>348000</v>
      </c>
      <c r="C273" s="425">
        <f>B273*1.05</f>
        <v>365400</v>
      </c>
      <c r="D273" s="425">
        <f t="shared" si="94"/>
        <v>383670</v>
      </c>
    </row>
    <row r="274" spans="1:4" ht="15.65" x14ac:dyDescent="0.3">
      <c r="A274" s="423" t="s">
        <v>1080</v>
      </c>
      <c r="B274" s="424">
        <v>300000</v>
      </c>
      <c r="C274" s="425">
        <f>B274*1.05</f>
        <v>315000</v>
      </c>
      <c r="D274" s="425">
        <f t="shared" si="94"/>
        <v>330750</v>
      </c>
    </row>
    <row r="275" spans="1:4" ht="15.65" x14ac:dyDescent="0.3">
      <c r="A275" s="426" t="s">
        <v>822</v>
      </c>
      <c r="B275" s="427">
        <f>SUM(B276+B277+B278+B279)</f>
        <v>13074600</v>
      </c>
      <c r="C275" s="427">
        <f t="shared" ref="C275:D275" si="96">SUM(C276+C277+C278+C279)</f>
        <v>13728330</v>
      </c>
      <c r="D275" s="427">
        <f t="shared" si="96"/>
        <v>14414746.5</v>
      </c>
    </row>
    <row r="276" spans="1:4" ht="15.65" x14ac:dyDescent="0.3">
      <c r="A276" s="423" t="s">
        <v>823</v>
      </c>
      <c r="B276" s="424">
        <v>628000</v>
      </c>
      <c r="C276" s="425">
        <f>B276*1.05</f>
        <v>659400</v>
      </c>
      <c r="D276" s="425">
        <f t="shared" si="94"/>
        <v>692370</v>
      </c>
    </row>
    <row r="277" spans="1:4" ht="15.65" x14ac:dyDescent="0.3">
      <c r="A277" s="423" t="s">
        <v>825</v>
      </c>
      <c r="B277" s="428">
        <f>11114925-5000000</f>
        <v>6114925</v>
      </c>
      <c r="C277" s="425">
        <f t="shared" ref="C277:C279" si="97">B277*1.05</f>
        <v>6420671.25</v>
      </c>
      <c r="D277" s="425">
        <f t="shared" si="94"/>
        <v>6741704.8125</v>
      </c>
    </row>
    <row r="278" spans="1:4" ht="15.65" x14ac:dyDescent="0.3">
      <c r="A278" s="423" t="s">
        <v>826</v>
      </c>
      <c r="B278" s="424">
        <f>4901715+75760+39200</f>
        <v>5016675</v>
      </c>
      <c r="C278" s="425">
        <f t="shared" si="97"/>
        <v>5267508.75</v>
      </c>
      <c r="D278" s="425">
        <f t="shared" si="94"/>
        <v>5530884.1875</v>
      </c>
    </row>
    <row r="279" spans="1:4" ht="15.65" x14ac:dyDescent="0.3">
      <c r="A279" s="423" t="s">
        <v>872</v>
      </c>
      <c r="B279" s="424">
        <v>1315000</v>
      </c>
      <c r="C279" s="425">
        <f t="shared" si="97"/>
        <v>1380750</v>
      </c>
      <c r="D279" s="425">
        <f t="shared" si="94"/>
        <v>1449787.5</v>
      </c>
    </row>
    <row r="280" spans="1:4" ht="15.65" x14ac:dyDescent="0.3">
      <c r="A280" s="426" t="s">
        <v>830</v>
      </c>
      <c r="B280" s="427">
        <f>SUM(B281+B282)</f>
        <v>3232000</v>
      </c>
      <c r="C280" s="427">
        <f t="shared" ref="C280:D280" si="98">SUM(C281+C282)</f>
        <v>3393600</v>
      </c>
      <c r="D280" s="427">
        <f t="shared" si="98"/>
        <v>3563280</v>
      </c>
    </row>
    <row r="281" spans="1:4" ht="15.65" x14ac:dyDescent="0.3">
      <c r="A281" s="423" t="s">
        <v>831</v>
      </c>
      <c r="B281" s="424">
        <f>3632000-1000000</f>
        <v>2632000</v>
      </c>
      <c r="C281" s="425">
        <f>B281*1.05</f>
        <v>2763600</v>
      </c>
      <c r="D281" s="425">
        <f t="shared" si="94"/>
        <v>2901780</v>
      </c>
    </row>
    <row r="282" spans="1:4" ht="15.65" x14ac:dyDescent="0.3">
      <c r="A282" s="423" t="s">
        <v>832</v>
      </c>
      <c r="B282" s="424">
        <v>600000</v>
      </c>
      <c r="C282" s="425">
        <f>B282*1.05</f>
        <v>630000</v>
      </c>
      <c r="D282" s="425">
        <f t="shared" si="94"/>
        <v>661500</v>
      </c>
    </row>
    <row r="283" spans="1:4" ht="15.65" x14ac:dyDescent="0.3">
      <c r="A283" s="426" t="s">
        <v>1084</v>
      </c>
      <c r="B283" s="430">
        <f>B284+B285</f>
        <v>925000</v>
      </c>
      <c r="C283" s="430">
        <f t="shared" ref="C283:D283" si="99">C284+C285</f>
        <v>971250</v>
      </c>
      <c r="D283" s="430">
        <f t="shared" si="99"/>
        <v>1019812.5</v>
      </c>
    </row>
    <row r="284" spans="1:4" ht="15.65" x14ac:dyDescent="0.3">
      <c r="A284" s="423" t="s">
        <v>1085</v>
      </c>
      <c r="B284" s="424">
        <v>25000</v>
      </c>
      <c r="C284" s="425">
        <f>B284*1.05</f>
        <v>26250</v>
      </c>
      <c r="D284" s="425">
        <f>C284*1.05</f>
        <v>27562.5</v>
      </c>
    </row>
    <row r="285" spans="1:4" ht="15.65" x14ac:dyDescent="0.3">
      <c r="A285" s="65" t="s">
        <v>1118</v>
      </c>
      <c r="B285" s="461">
        <v>900000</v>
      </c>
      <c r="C285" s="425">
        <f>B285*1.05</f>
        <v>945000</v>
      </c>
      <c r="D285" s="425">
        <f>C285*1.05</f>
        <v>992250</v>
      </c>
    </row>
    <row r="286" spans="1:4" ht="16.25" thickBot="1" x14ac:dyDescent="0.35">
      <c r="A286" s="453" t="s">
        <v>1086</v>
      </c>
      <c r="B286" s="430">
        <f>B289+B287+B288+B290+B291+B292</f>
        <v>2825800</v>
      </c>
      <c r="C286" s="430">
        <f t="shared" ref="C286:D286" si="100">C287+C288+C290+C291+C292</f>
        <v>2925090</v>
      </c>
      <c r="D286" s="430">
        <f t="shared" si="100"/>
        <v>3071344.5</v>
      </c>
    </row>
    <row r="287" spans="1:4" ht="16.25" thickBot="1" x14ac:dyDescent="0.35">
      <c r="A287" s="431" t="s">
        <v>1087</v>
      </c>
      <c r="B287" s="424"/>
      <c r="C287" s="425">
        <f>B287*1.05</f>
        <v>0</v>
      </c>
      <c r="D287" s="425">
        <f>C287*1.05</f>
        <v>0</v>
      </c>
    </row>
    <row r="288" spans="1:4" ht="16.25" thickBot="1" x14ac:dyDescent="0.35">
      <c r="A288" s="431" t="s">
        <v>1088</v>
      </c>
      <c r="B288" s="424">
        <v>448000</v>
      </c>
      <c r="C288" s="425">
        <f t="shared" ref="C288:D289" si="101">B288*1.05</f>
        <v>470400</v>
      </c>
      <c r="D288" s="425">
        <f t="shared" si="101"/>
        <v>493920</v>
      </c>
    </row>
    <row r="289" spans="1:4" ht="16.25" thickBot="1" x14ac:dyDescent="0.35">
      <c r="A289" s="65" t="s">
        <v>1119</v>
      </c>
      <c r="B289" s="461">
        <v>40000</v>
      </c>
      <c r="C289" s="425">
        <f>B289*1.05</f>
        <v>42000</v>
      </c>
      <c r="D289" s="425">
        <f t="shared" si="101"/>
        <v>44100</v>
      </c>
    </row>
    <row r="290" spans="1:4" ht="16.25" thickBot="1" x14ac:dyDescent="0.35">
      <c r="A290" s="431" t="s">
        <v>1089</v>
      </c>
      <c r="B290" s="424"/>
      <c r="C290" s="425">
        <f t="shared" ref="C290:D292" si="102">B290*1.05</f>
        <v>0</v>
      </c>
      <c r="D290" s="425">
        <f t="shared" si="102"/>
        <v>0</v>
      </c>
    </row>
    <row r="291" spans="1:4" ht="16.25" thickBot="1" x14ac:dyDescent="0.35">
      <c r="A291" s="431" t="s">
        <v>1090</v>
      </c>
      <c r="B291" s="424">
        <v>2229800</v>
      </c>
      <c r="C291" s="425">
        <f t="shared" si="102"/>
        <v>2341290</v>
      </c>
      <c r="D291" s="425">
        <f t="shared" si="102"/>
        <v>2458354.5</v>
      </c>
    </row>
    <row r="292" spans="1:4" ht="16.25" thickBot="1" x14ac:dyDescent="0.35">
      <c r="A292" s="431" t="s">
        <v>1091</v>
      </c>
      <c r="B292" s="424">
        <v>108000</v>
      </c>
      <c r="C292" s="425">
        <f t="shared" si="102"/>
        <v>113400</v>
      </c>
      <c r="D292" s="425">
        <f t="shared" si="102"/>
        <v>119070</v>
      </c>
    </row>
    <row r="293" spans="1:4" ht="15.65" x14ac:dyDescent="0.3">
      <c r="A293" s="426" t="s">
        <v>836</v>
      </c>
      <c r="B293" s="427">
        <f>SUM(B294+B295)</f>
        <v>11377000</v>
      </c>
      <c r="C293" s="427">
        <f t="shared" ref="C293:D293" si="103">SUM(C294+C295)</f>
        <v>11945850</v>
      </c>
      <c r="D293" s="427">
        <f t="shared" si="103"/>
        <v>12543142.5</v>
      </c>
    </row>
    <row r="294" spans="1:4" ht="15.65" x14ac:dyDescent="0.3">
      <c r="A294" s="423" t="s">
        <v>837</v>
      </c>
      <c r="B294" s="424">
        <f>6698500-2000000</f>
        <v>4698500</v>
      </c>
      <c r="C294" s="425">
        <f>B294*1.05</f>
        <v>4933425</v>
      </c>
      <c r="D294" s="425">
        <f t="shared" si="94"/>
        <v>5180096.25</v>
      </c>
    </row>
    <row r="295" spans="1:4" ht="15.65" x14ac:dyDescent="0.3">
      <c r="A295" s="423" t="s">
        <v>838</v>
      </c>
      <c r="B295" s="424">
        <v>6678500</v>
      </c>
      <c r="C295" s="425">
        <f>B295*1.05</f>
        <v>7012425</v>
      </c>
      <c r="D295" s="425">
        <f t="shared" si="94"/>
        <v>7363046.25</v>
      </c>
    </row>
    <row r="296" spans="1:4" ht="15.65" x14ac:dyDescent="0.3">
      <c r="A296" s="426" t="s">
        <v>843</v>
      </c>
      <c r="B296" s="427">
        <f>SUM(B297+B298+B299)</f>
        <v>1535500</v>
      </c>
      <c r="C296" s="427">
        <f t="shared" ref="C296:D296" si="104">SUM(C297+C298+C299)</f>
        <v>1612275</v>
      </c>
      <c r="D296" s="427">
        <f t="shared" si="104"/>
        <v>1692888.75</v>
      </c>
    </row>
    <row r="297" spans="1:4" ht="15.65" x14ac:dyDescent="0.3">
      <c r="A297" s="423" t="s">
        <v>844</v>
      </c>
      <c r="B297" s="424">
        <v>1331500</v>
      </c>
      <c r="C297" s="425">
        <f>B297*1.05</f>
        <v>1398075</v>
      </c>
      <c r="D297" s="425">
        <f t="shared" si="94"/>
        <v>1467978.75</v>
      </c>
    </row>
    <row r="298" spans="1:4" ht="15.65" x14ac:dyDescent="0.3">
      <c r="A298" s="423" t="s">
        <v>1093</v>
      </c>
      <c r="B298" s="424">
        <v>200000</v>
      </c>
      <c r="C298" s="425">
        <f>B298*1.05</f>
        <v>210000</v>
      </c>
      <c r="D298" s="425">
        <f t="shared" si="94"/>
        <v>220500</v>
      </c>
    </row>
    <row r="299" spans="1:4" ht="15.65" x14ac:dyDescent="0.3">
      <c r="A299" s="423" t="s">
        <v>845</v>
      </c>
      <c r="B299" s="424">
        <v>4000</v>
      </c>
      <c r="C299" s="425">
        <f>B299*1.05</f>
        <v>4200</v>
      </c>
      <c r="D299" s="425">
        <f t="shared" si="94"/>
        <v>4410</v>
      </c>
    </row>
    <row r="300" spans="1:4" ht="15.65" x14ac:dyDescent="0.3">
      <c r="A300" s="426" t="s">
        <v>846</v>
      </c>
      <c r="B300" s="430">
        <f>B301</f>
        <v>145200</v>
      </c>
      <c r="C300" s="430">
        <f t="shared" ref="C300:D300" si="105">C301</f>
        <v>152460</v>
      </c>
      <c r="D300" s="430">
        <f t="shared" si="105"/>
        <v>160083</v>
      </c>
    </row>
    <row r="301" spans="1:4" ht="15.65" x14ac:dyDescent="0.3">
      <c r="A301" s="432" t="s">
        <v>847</v>
      </c>
      <c r="B301" s="424">
        <v>145200</v>
      </c>
      <c r="C301" s="425">
        <f>B301*1.05</f>
        <v>152460</v>
      </c>
      <c r="D301" s="425">
        <f>C301*1.05</f>
        <v>160083</v>
      </c>
    </row>
    <row r="302" spans="1:4" ht="15.65" x14ac:dyDescent="0.3">
      <c r="A302" s="426" t="s">
        <v>848</v>
      </c>
      <c r="B302" s="427">
        <f>SUM(B303)</f>
        <v>2082500</v>
      </c>
      <c r="C302" s="427">
        <f t="shared" ref="C302:D302" si="106">SUM(C303)</f>
        <v>2186625</v>
      </c>
      <c r="D302" s="427">
        <f t="shared" si="106"/>
        <v>2295956.25</v>
      </c>
    </row>
    <row r="303" spans="1:4" ht="15.65" x14ac:dyDescent="0.3">
      <c r="A303" s="423" t="s">
        <v>1111</v>
      </c>
      <c r="B303" s="424">
        <v>2082500</v>
      </c>
      <c r="C303" s="425">
        <f>B303*1.05</f>
        <v>2186625</v>
      </c>
      <c r="D303" s="425">
        <f t="shared" si="94"/>
        <v>2295956.25</v>
      </c>
    </row>
    <row r="304" spans="1:4" ht="15.65" x14ac:dyDescent="0.3">
      <c r="A304" s="426" t="s">
        <v>877</v>
      </c>
      <c r="B304" s="427">
        <f>SUM(B305)</f>
        <v>200000</v>
      </c>
      <c r="C304" s="427">
        <f t="shared" ref="C304:D304" si="107">SUM(C305)</f>
        <v>210000</v>
      </c>
      <c r="D304" s="427">
        <f t="shared" si="107"/>
        <v>220500</v>
      </c>
    </row>
    <row r="305" spans="1:7" ht="15.65" x14ac:dyDescent="0.3">
      <c r="A305" s="423" t="s">
        <v>880</v>
      </c>
      <c r="B305" s="424">
        <v>200000</v>
      </c>
      <c r="C305" s="425">
        <f>B305*1.05</f>
        <v>210000</v>
      </c>
      <c r="D305" s="425">
        <f t="shared" si="94"/>
        <v>220500</v>
      </c>
    </row>
    <row r="306" spans="1:7" ht="15.65" x14ac:dyDescent="0.3">
      <c r="A306" s="426" t="s">
        <v>854</v>
      </c>
      <c r="B306" s="427">
        <f>SUM(B307+B308)</f>
        <v>420000</v>
      </c>
      <c r="C306" s="427">
        <f t="shared" ref="C306:D306" si="108">SUM(C307+C308)</f>
        <v>441000</v>
      </c>
      <c r="D306" s="427">
        <f t="shared" si="108"/>
        <v>463050</v>
      </c>
    </row>
    <row r="307" spans="1:7" ht="15.65" x14ac:dyDescent="0.3">
      <c r="A307" s="423" t="s">
        <v>855</v>
      </c>
      <c r="B307" s="424">
        <v>420000</v>
      </c>
      <c r="C307" s="425">
        <f>B307*1.05</f>
        <v>441000</v>
      </c>
      <c r="D307" s="425">
        <f t="shared" si="94"/>
        <v>463050</v>
      </c>
      <c r="G307" s="6">
        <v>55715600</v>
      </c>
    </row>
    <row r="308" spans="1:7" ht="15.65" x14ac:dyDescent="0.3">
      <c r="A308" s="423" t="s">
        <v>856</v>
      </c>
      <c r="B308" s="424">
        <v>0</v>
      </c>
      <c r="C308" s="425">
        <f>B308*1.05</f>
        <v>0</v>
      </c>
      <c r="D308" s="425">
        <f t="shared" si="94"/>
        <v>0</v>
      </c>
      <c r="G308" s="458">
        <f>B309-G307</f>
        <v>-19250000</v>
      </c>
    </row>
    <row r="309" spans="1:7" ht="15.65" x14ac:dyDescent="0.3">
      <c r="A309" s="435" t="s">
        <v>862</v>
      </c>
      <c r="B309" s="430">
        <f>SUM(B306+B304+B302+B300+B296+B293+B286+B283+B280+B275+B272+B269)</f>
        <v>36465600</v>
      </c>
      <c r="C309" s="430">
        <f t="shared" ref="C309:D309" si="109">SUM(C306+C304+C302+C300+C296+C293+C286+C283+C280+C275+C272+C269)</f>
        <v>38246880</v>
      </c>
      <c r="D309" s="430">
        <f t="shared" si="109"/>
        <v>40159224</v>
      </c>
      <c r="G309" s="6">
        <v>37620580</v>
      </c>
    </row>
    <row r="310" spans="1:7" ht="15.65" x14ac:dyDescent="0.3">
      <c r="A310" s="436"/>
      <c r="B310" s="430"/>
      <c r="C310" s="430"/>
      <c r="D310" s="430"/>
      <c r="G310" s="458">
        <f>B309-G309</f>
        <v>-1154980</v>
      </c>
    </row>
    <row r="311" spans="1:7" ht="15.65" x14ac:dyDescent="0.3">
      <c r="A311" s="436"/>
      <c r="B311" s="430"/>
      <c r="C311" s="430"/>
      <c r="D311" s="430"/>
    </row>
    <row r="312" spans="1:7" ht="15.65" x14ac:dyDescent="0.3">
      <c r="A312" s="426" t="s">
        <v>1120</v>
      </c>
      <c r="B312" s="430"/>
      <c r="C312" s="430"/>
      <c r="D312" s="430"/>
      <c r="G312" s="458">
        <f>B309-G309</f>
        <v>-1154980</v>
      </c>
    </row>
    <row r="313" spans="1:7" ht="15.65" customHeight="1" x14ac:dyDescent="0.35">
      <c r="A313" s="842" t="s">
        <v>803</v>
      </c>
      <c r="B313" s="417" t="s">
        <v>1066</v>
      </c>
      <c r="C313" s="843" t="s">
        <v>805</v>
      </c>
      <c r="D313" s="843"/>
    </row>
    <row r="314" spans="1:7" x14ac:dyDescent="0.35">
      <c r="A314" s="842"/>
      <c r="B314" s="419" t="s">
        <v>1067</v>
      </c>
      <c r="C314" s="420" t="s">
        <v>806</v>
      </c>
      <c r="D314" s="420" t="s">
        <v>807</v>
      </c>
    </row>
    <row r="315" spans="1:7" ht="15.65" x14ac:dyDescent="0.3">
      <c r="A315" s="426" t="s">
        <v>820</v>
      </c>
      <c r="B315" s="427">
        <f>SUM(B316)</f>
        <v>288000</v>
      </c>
      <c r="C315" s="427">
        <f t="shared" ref="C315:D315" si="110">SUM(C316)</f>
        <v>302400</v>
      </c>
      <c r="D315" s="427">
        <f t="shared" si="110"/>
        <v>317520</v>
      </c>
    </row>
    <row r="316" spans="1:7" ht="15.65" x14ac:dyDescent="0.3">
      <c r="A316" s="423" t="s">
        <v>821</v>
      </c>
      <c r="B316" s="424">
        <v>288000</v>
      </c>
      <c r="C316" s="425">
        <f>B316*1.05</f>
        <v>302400</v>
      </c>
      <c r="D316" s="425">
        <f t="shared" ref="D316:D331" si="111">1.05*C316</f>
        <v>317520</v>
      </c>
    </row>
    <row r="317" spans="1:7" ht="15.65" x14ac:dyDescent="0.3">
      <c r="A317" s="426" t="s">
        <v>822</v>
      </c>
      <c r="B317" s="427">
        <f>SUM(B318+B319)</f>
        <v>10049600</v>
      </c>
      <c r="C317" s="427">
        <f t="shared" ref="C317:D317" si="112">SUM(C318+C319)</f>
        <v>10552080</v>
      </c>
      <c r="D317" s="427">
        <f t="shared" si="112"/>
        <v>11079684</v>
      </c>
    </row>
    <row r="318" spans="1:7" ht="15.65" x14ac:dyDescent="0.3">
      <c r="A318" s="423" t="s">
        <v>825</v>
      </c>
      <c r="B318" s="676">
        <f>-3000000+11109600-1000000</f>
        <v>7109600</v>
      </c>
      <c r="C318" s="425">
        <f>B318*1.05</f>
        <v>7465080</v>
      </c>
      <c r="D318" s="425">
        <f t="shared" si="111"/>
        <v>7838334</v>
      </c>
    </row>
    <row r="319" spans="1:7" ht="15.65" x14ac:dyDescent="0.3">
      <c r="A319" s="423" t="s">
        <v>826</v>
      </c>
      <c r="B319" s="424">
        <v>2940000</v>
      </c>
      <c r="C319" s="425">
        <f>B319*1.05</f>
        <v>3087000</v>
      </c>
      <c r="D319" s="425">
        <f t="shared" si="111"/>
        <v>3241350</v>
      </c>
    </row>
    <row r="320" spans="1:7" ht="15.65" x14ac:dyDescent="0.3">
      <c r="A320" s="426" t="s">
        <v>830</v>
      </c>
      <c r="B320" s="427">
        <f>SUM(B321)</f>
        <v>480000</v>
      </c>
      <c r="C320" s="427">
        <f t="shared" ref="C320:D320" si="113">SUM(C321)</f>
        <v>504000</v>
      </c>
      <c r="D320" s="427">
        <f t="shared" si="113"/>
        <v>529200</v>
      </c>
    </row>
    <row r="321" spans="1:4" ht="15.65" x14ac:dyDescent="0.3">
      <c r="A321" s="423" t="s">
        <v>831</v>
      </c>
      <c r="B321" s="424">
        <v>480000</v>
      </c>
      <c r="C321" s="425">
        <f>B321*1.05</f>
        <v>504000</v>
      </c>
      <c r="D321" s="425">
        <f t="shared" si="111"/>
        <v>529200</v>
      </c>
    </row>
    <row r="322" spans="1:4" ht="15.65" x14ac:dyDescent="0.3">
      <c r="A322" s="426" t="s">
        <v>836</v>
      </c>
      <c r="B322" s="427">
        <f>SUM(B323+B324)</f>
        <v>2805610</v>
      </c>
      <c r="C322" s="427">
        <f t="shared" ref="C322:D322" si="114">SUM(C323+C324)</f>
        <v>2945890.5</v>
      </c>
      <c r="D322" s="427">
        <f t="shared" si="114"/>
        <v>3093185.0249999999</v>
      </c>
    </row>
    <row r="323" spans="1:4" ht="15.65" x14ac:dyDescent="0.3">
      <c r="A323" s="423" t="s">
        <v>837</v>
      </c>
      <c r="B323" s="424">
        <v>183610</v>
      </c>
      <c r="C323" s="425">
        <f>B323*1.05</f>
        <v>192790.5</v>
      </c>
      <c r="D323" s="425">
        <f t="shared" si="111"/>
        <v>202430.02499999999</v>
      </c>
    </row>
    <row r="324" spans="1:4" ht="15.65" x14ac:dyDescent="0.3">
      <c r="A324" s="423" t="s">
        <v>838</v>
      </c>
      <c r="B324" s="424">
        <v>2622000</v>
      </c>
      <c r="C324" s="425">
        <f>B324*1.05</f>
        <v>2753100</v>
      </c>
      <c r="D324" s="425">
        <f t="shared" si="111"/>
        <v>2890755</v>
      </c>
    </row>
    <row r="325" spans="1:4" ht="15.65" x14ac:dyDescent="0.3">
      <c r="A325" s="426" t="s">
        <v>843</v>
      </c>
      <c r="B325" s="427">
        <f>SUM(B326:B327)</f>
        <v>60000</v>
      </c>
      <c r="C325" s="427">
        <f t="shared" ref="C325:D325" si="115">SUM(C326:C327)</f>
        <v>63000</v>
      </c>
      <c r="D325" s="427">
        <f t="shared" si="115"/>
        <v>66150</v>
      </c>
    </row>
    <row r="326" spans="1:4" ht="15.65" x14ac:dyDescent="0.3">
      <c r="A326" s="423" t="s">
        <v>844</v>
      </c>
      <c r="B326" s="424">
        <v>60000</v>
      </c>
      <c r="C326" s="425">
        <f>B326*1.05</f>
        <v>63000</v>
      </c>
      <c r="D326" s="425">
        <f t="shared" si="111"/>
        <v>66150</v>
      </c>
    </row>
    <row r="327" spans="1:4" ht="15.65" x14ac:dyDescent="0.3">
      <c r="A327" s="423" t="s">
        <v>1093</v>
      </c>
      <c r="B327" s="424"/>
      <c r="C327" s="425">
        <f>B327*1.05</f>
        <v>0</v>
      </c>
      <c r="D327" s="425">
        <f t="shared" si="111"/>
        <v>0</v>
      </c>
    </row>
    <row r="328" spans="1:4" ht="15.65" x14ac:dyDescent="0.3">
      <c r="A328" s="426" t="s">
        <v>877</v>
      </c>
      <c r="B328" s="427">
        <f>SUM(B329)</f>
        <v>81082</v>
      </c>
      <c r="C328" s="427">
        <f t="shared" ref="C328:D328" si="116">SUM(C329)</f>
        <v>85136.1</v>
      </c>
      <c r="D328" s="427">
        <f t="shared" si="116"/>
        <v>89392.905000000013</v>
      </c>
    </row>
    <row r="329" spans="1:4" ht="15.65" x14ac:dyDescent="0.3">
      <c r="A329" s="423" t="s">
        <v>880</v>
      </c>
      <c r="B329" s="424">
        <v>81082</v>
      </c>
      <c r="C329" s="425">
        <f>B329*1.05</f>
        <v>85136.1</v>
      </c>
      <c r="D329" s="425">
        <f t="shared" si="111"/>
        <v>89392.905000000013</v>
      </c>
    </row>
    <row r="330" spans="1:4" ht="15.65" x14ac:dyDescent="0.3">
      <c r="A330" s="426" t="s">
        <v>854</v>
      </c>
      <c r="B330" s="427">
        <f>SUM(B331)</f>
        <v>160000</v>
      </c>
      <c r="C330" s="427">
        <f t="shared" ref="C330:D330" si="117">SUM(C331)</f>
        <v>168000</v>
      </c>
      <c r="D330" s="427">
        <f t="shared" si="117"/>
        <v>176400</v>
      </c>
    </row>
    <row r="331" spans="1:4" ht="15.65" x14ac:dyDescent="0.3">
      <c r="A331" s="423" t="s">
        <v>856</v>
      </c>
      <c r="B331" s="424">
        <v>160000</v>
      </c>
      <c r="C331" s="425">
        <f>B331*1.05</f>
        <v>168000</v>
      </c>
      <c r="D331" s="425">
        <f t="shared" si="111"/>
        <v>176400</v>
      </c>
    </row>
    <row r="332" spans="1:4" ht="15.65" x14ac:dyDescent="0.3">
      <c r="A332" s="435" t="s">
        <v>862</v>
      </c>
      <c r="B332" s="430">
        <f>SUM(B330+B328+B325+B322+B320+B317+B315)</f>
        <v>13924292</v>
      </c>
      <c r="C332" s="430">
        <f t="shared" ref="C332:D332" si="118">SUM(C330+C328+C325+C322+C320+C317+C315)</f>
        <v>14620506.6</v>
      </c>
      <c r="D332" s="430">
        <f t="shared" si="118"/>
        <v>15351531.93</v>
      </c>
    </row>
    <row r="333" spans="1:4" ht="15.65" x14ac:dyDescent="0.3">
      <c r="A333" s="436"/>
      <c r="B333" s="430"/>
      <c r="C333" s="430"/>
      <c r="D333" s="430"/>
    </row>
    <row r="334" spans="1:4" ht="15.65" x14ac:dyDescent="0.3">
      <c r="A334" s="436"/>
      <c r="B334" s="430"/>
      <c r="C334" s="430"/>
      <c r="D334" s="430"/>
    </row>
    <row r="335" spans="1:4" ht="15.65" x14ac:dyDescent="0.3">
      <c r="A335" s="426" t="s">
        <v>1121</v>
      </c>
      <c r="B335" s="430"/>
      <c r="C335" s="430"/>
      <c r="D335" s="430"/>
    </row>
    <row r="336" spans="1:4" ht="15.65" customHeight="1" x14ac:dyDescent="0.35">
      <c r="A336" s="842" t="s">
        <v>803</v>
      </c>
      <c r="B336" s="417" t="s">
        <v>1066</v>
      </c>
      <c r="C336" s="843" t="s">
        <v>805</v>
      </c>
      <c r="D336" s="843"/>
    </row>
    <row r="337" spans="1:4" x14ac:dyDescent="0.35">
      <c r="A337" s="842"/>
      <c r="B337" s="419" t="s">
        <v>1067</v>
      </c>
      <c r="C337" s="420" t="s">
        <v>806</v>
      </c>
      <c r="D337" s="420" t="s">
        <v>807</v>
      </c>
    </row>
    <row r="338" spans="1:4" ht="15.65" x14ac:dyDescent="0.3">
      <c r="A338" s="426" t="s">
        <v>820</v>
      </c>
      <c r="B338" s="427">
        <f>SUM(B339+B340)</f>
        <v>442000</v>
      </c>
      <c r="C338" s="427">
        <f t="shared" ref="C338:D338" si="119">SUM(C339+C340)</f>
        <v>464100</v>
      </c>
      <c r="D338" s="427">
        <f t="shared" si="119"/>
        <v>487305</v>
      </c>
    </row>
    <row r="339" spans="1:4" ht="15.65" x14ac:dyDescent="0.3">
      <c r="A339" s="423" t="s">
        <v>821</v>
      </c>
      <c r="B339" s="424">
        <v>142000</v>
      </c>
      <c r="C339" s="425">
        <f>B339*1.05</f>
        <v>149100</v>
      </c>
      <c r="D339" s="425">
        <f t="shared" ref="D339:D367" si="120">1.05*C339</f>
        <v>156555</v>
      </c>
    </row>
    <row r="340" spans="1:4" ht="15.65" x14ac:dyDescent="0.3">
      <c r="A340" s="423" t="s">
        <v>1080</v>
      </c>
      <c r="B340" s="424">
        <v>300000</v>
      </c>
      <c r="C340" s="425">
        <f>B340*1.05</f>
        <v>315000</v>
      </c>
      <c r="D340" s="425">
        <f t="shared" si="120"/>
        <v>330750</v>
      </c>
    </row>
    <row r="341" spans="1:4" ht="15.65" x14ac:dyDescent="0.3">
      <c r="A341" s="426" t="s">
        <v>822</v>
      </c>
      <c r="B341" s="427">
        <f>B342+B343+B344</f>
        <v>4238500</v>
      </c>
      <c r="C341" s="427">
        <f t="shared" ref="C341:D341" si="121">C342+C343+C344</f>
        <v>4450425</v>
      </c>
      <c r="D341" s="427">
        <f t="shared" si="121"/>
        <v>4672946.25</v>
      </c>
    </row>
    <row r="342" spans="1:4" ht="15.65" x14ac:dyDescent="0.3">
      <c r="A342" s="423" t="s">
        <v>823</v>
      </c>
      <c r="B342" s="424">
        <v>642900</v>
      </c>
      <c r="C342" s="425">
        <f>B342*1.05</f>
        <v>675045</v>
      </c>
      <c r="D342" s="425">
        <f t="shared" si="120"/>
        <v>708797.25</v>
      </c>
    </row>
    <row r="343" spans="1:4" ht="15.65" x14ac:dyDescent="0.3">
      <c r="A343" s="423" t="s">
        <v>825</v>
      </c>
      <c r="B343" s="424">
        <f>-1000000+4595600</f>
        <v>3595600</v>
      </c>
      <c r="C343" s="425">
        <f>B343*1.05</f>
        <v>3775380</v>
      </c>
      <c r="D343" s="425">
        <f t="shared" si="120"/>
        <v>3964149</v>
      </c>
    </row>
    <row r="344" spans="1:4" ht="15.65" x14ac:dyDescent="0.3">
      <c r="A344" s="423" t="s">
        <v>826</v>
      </c>
      <c r="B344" s="424">
        <v>0</v>
      </c>
      <c r="C344" s="425">
        <f>B344*1.05</f>
        <v>0</v>
      </c>
      <c r="D344" s="425">
        <f t="shared" si="120"/>
        <v>0</v>
      </c>
    </row>
    <row r="345" spans="1:4" ht="15.65" x14ac:dyDescent="0.3">
      <c r="A345" s="426" t="s">
        <v>830</v>
      </c>
      <c r="B345" s="427">
        <f>B346+B347</f>
        <v>4070000</v>
      </c>
      <c r="C345" s="427">
        <f t="shared" ref="C345:D345" si="122">C346+C347</f>
        <v>4273500</v>
      </c>
      <c r="D345" s="427">
        <f t="shared" si="122"/>
        <v>4487175</v>
      </c>
    </row>
    <row r="346" spans="1:4" ht="15.65" x14ac:dyDescent="0.3">
      <c r="A346" s="423" t="s">
        <v>831</v>
      </c>
      <c r="B346" s="425">
        <v>4070000</v>
      </c>
      <c r="C346" s="425">
        <f>B346*1.05</f>
        <v>4273500</v>
      </c>
      <c r="D346" s="425">
        <f>C346*1.05</f>
        <v>4487175</v>
      </c>
    </row>
    <row r="347" spans="1:4" ht="15.65" x14ac:dyDescent="0.3">
      <c r="A347" s="423" t="s">
        <v>873</v>
      </c>
      <c r="B347" s="424">
        <v>0</v>
      </c>
      <c r="C347" s="425">
        <f>B347*1.05</f>
        <v>0</v>
      </c>
      <c r="D347" s="425">
        <f t="shared" si="120"/>
        <v>0</v>
      </c>
    </row>
    <row r="348" spans="1:4" ht="16.25" thickBot="1" x14ac:dyDescent="0.35">
      <c r="A348" s="453" t="s">
        <v>1086</v>
      </c>
      <c r="B348" s="430">
        <f>B349+B350+B351+B352+B353+B354</f>
        <v>1927000</v>
      </c>
      <c r="C348" s="430">
        <f t="shared" ref="C348:D348" si="123">C349+C350+C352+C353+C354</f>
        <v>2023350</v>
      </c>
      <c r="D348" s="430">
        <f t="shared" si="123"/>
        <v>2124517.5</v>
      </c>
    </row>
    <row r="349" spans="1:4" ht="16.25" thickBot="1" x14ac:dyDescent="0.35">
      <c r="A349" s="431" t="s">
        <v>1087</v>
      </c>
      <c r="B349" s="424"/>
      <c r="C349" s="425">
        <f>B349*1.05</f>
        <v>0</v>
      </c>
      <c r="D349" s="425">
        <f>C349*1.05</f>
        <v>0</v>
      </c>
    </row>
    <row r="350" spans="1:4" ht="16.25" thickBot="1" x14ac:dyDescent="0.35">
      <c r="A350" s="431" t="s">
        <v>1088</v>
      </c>
      <c r="B350" s="424">
        <v>65000</v>
      </c>
      <c r="C350" s="425">
        <f t="shared" ref="C350:D350" si="124">B350*1.05</f>
        <v>68250</v>
      </c>
      <c r="D350" s="425">
        <f t="shared" si="124"/>
        <v>71662.5</v>
      </c>
    </row>
    <row r="351" spans="1:4" ht="16.25" thickBot="1" x14ac:dyDescent="0.35">
      <c r="A351" s="65" t="s">
        <v>1119</v>
      </c>
      <c r="B351" s="461"/>
      <c r="C351" s="425"/>
      <c r="D351" s="425"/>
    </row>
    <row r="352" spans="1:4" ht="16.25" thickBot="1" x14ac:dyDescent="0.35">
      <c r="A352" s="431" t="s">
        <v>1089</v>
      </c>
      <c r="B352" s="424"/>
      <c r="C352" s="425">
        <f t="shared" ref="C352:D354" si="125">B352*1.05</f>
        <v>0</v>
      </c>
      <c r="D352" s="425">
        <f t="shared" si="125"/>
        <v>0</v>
      </c>
    </row>
    <row r="353" spans="1:4" ht="16.25" thickBot="1" x14ac:dyDescent="0.35">
      <c r="A353" s="431" t="s">
        <v>1090</v>
      </c>
      <c r="B353" s="424">
        <v>1734000</v>
      </c>
      <c r="C353" s="425">
        <f t="shared" si="125"/>
        <v>1820700</v>
      </c>
      <c r="D353" s="425">
        <f t="shared" si="125"/>
        <v>1911735</v>
      </c>
    </row>
    <row r="354" spans="1:4" ht="16.25" thickBot="1" x14ac:dyDescent="0.35">
      <c r="A354" s="431" t="s">
        <v>1091</v>
      </c>
      <c r="B354" s="424">
        <v>128000</v>
      </c>
      <c r="C354" s="425">
        <f t="shared" si="125"/>
        <v>134400</v>
      </c>
      <c r="D354" s="425">
        <f t="shared" si="125"/>
        <v>141120</v>
      </c>
    </row>
    <row r="355" spans="1:4" ht="15.65" x14ac:dyDescent="0.3">
      <c r="A355" s="426" t="s">
        <v>836</v>
      </c>
      <c r="B355" s="427">
        <f>SUM(B356+B357)</f>
        <v>3232110</v>
      </c>
      <c r="C355" s="427">
        <f t="shared" ref="C355:D355" si="126">SUM(C356+C357)</f>
        <v>3393715.5</v>
      </c>
      <c r="D355" s="427">
        <f t="shared" si="126"/>
        <v>3563401.2750000004</v>
      </c>
    </row>
    <row r="356" spans="1:4" ht="15.65" x14ac:dyDescent="0.3">
      <c r="A356" s="423" t="s">
        <v>837</v>
      </c>
      <c r="B356" s="424">
        <v>1658070</v>
      </c>
      <c r="C356" s="425">
        <f>B356*1.05</f>
        <v>1740973.5</v>
      </c>
      <c r="D356" s="425">
        <f t="shared" si="120"/>
        <v>1828022.175</v>
      </c>
    </row>
    <row r="357" spans="1:4" ht="15.65" x14ac:dyDescent="0.3">
      <c r="A357" s="423" t="s">
        <v>838</v>
      </c>
      <c r="B357" s="424">
        <v>1574040</v>
      </c>
      <c r="C357" s="425">
        <f>B357*1.05</f>
        <v>1652742</v>
      </c>
      <c r="D357" s="425">
        <f t="shared" si="120"/>
        <v>1735379.1</v>
      </c>
    </row>
    <row r="358" spans="1:4" ht="15.65" x14ac:dyDescent="0.3">
      <c r="A358" s="426" t="s">
        <v>843</v>
      </c>
      <c r="B358" s="427">
        <f>B359+B360+B361</f>
        <v>253900</v>
      </c>
      <c r="C358" s="427">
        <f t="shared" ref="C358:D358" si="127">SUM(C359+C360)</f>
        <v>262395</v>
      </c>
      <c r="D358" s="427">
        <f t="shared" si="127"/>
        <v>275514.75</v>
      </c>
    </row>
    <row r="359" spans="1:4" ht="15.65" x14ac:dyDescent="0.3">
      <c r="A359" s="423" t="s">
        <v>844</v>
      </c>
      <c r="B359" s="424">
        <v>249900</v>
      </c>
      <c r="C359" s="425">
        <f>B359*1.05</f>
        <v>262395</v>
      </c>
      <c r="D359" s="425">
        <f t="shared" si="120"/>
        <v>275514.75</v>
      </c>
    </row>
    <row r="360" spans="1:4" ht="15.65" x14ac:dyDescent="0.3">
      <c r="A360" s="423" t="s">
        <v>1093</v>
      </c>
      <c r="B360" s="424"/>
      <c r="C360" s="425">
        <f>B360*1.05</f>
        <v>0</v>
      </c>
      <c r="D360" s="425">
        <f t="shared" si="120"/>
        <v>0</v>
      </c>
    </row>
    <row r="361" spans="1:4" ht="15.65" x14ac:dyDescent="0.3">
      <c r="A361" s="423" t="s">
        <v>845</v>
      </c>
      <c r="B361" s="424">
        <v>4000</v>
      </c>
      <c r="C361" s="425">
        <f>B361*1.05</f>
        <v>4200</v>
      </c>
      <c r="D361" s="425">
        <f t="shared" si="120"/>
        <v>4410</v>
      </c>
    </row>
    <row r="362" spans="1:4" ht="15.65" x14ac:dyDescent="0.3">
      <c r="A362" s="426" t="s">
        <v>848</v>
      </c>
      <c r="B362" s="427">
        <f>SUM(B363)</f>
        <v>1288695</v>
      </c>
      <c r="C362" s="427">
        <f t="shared" ref="C362:D362" si="128">SUM(C363)</f>
        <v>1353129.75</v>
      </c>
      <c r="D362" s="427">
        <f t="shared" si="128"/>
        <v>1420786.2375</v>
      </c>
    </row>
    <row r="363" spans="1:4" ht="15.65" x14ac:dyDescent="0.3">
      <c r="A363" s="423" t="s">
        <v>1111</v>
      </c>
      <c r="B363" s="424">
        <f>2288695-1000000</f>
        <v>1288695</v>
      </c>
      <c r="C363" s="425">
        <f>B363*1.05</f>
        <v>1353129.75</v>
      </c>
      <c r="D363" s="425">
        <f t="shared" ref="D363" si="129">1.05*C363</f>
        <v>1420786.2375</v>
      </c>
    </row>
    <row r="364" spans="1:4" ht="15.65" x14ac:dyDescent="0.3">
      <c r="A364" s="426" t="s">
        <v>877</v>
      </c>
      <c r="B364" s="427">
        <f>SUM(B367+B366+B365)</f>
        <v>200000</v>
      </c>
      <c r="C364" s="427">
        <f t="shared" ref="C364:D364" si="130">SUM(C367+C366+C365)</f>
        <v>210000</v>
      </c>
      <c r="D364" s="427">
        <f t="shared" si="130"/>
        <v>220500</v>
      </c>
    </row>
    <row r="365" spans="1:4" ht="15.65" x14ac:dyDescent="0.3">
      <c r="A365" s="423" t="s">
        <v>878</v>
      </c>
      <c r="B365" s="424">
        <v>0</v>
      </c>
      <c r="C365" s="425">
        <f>B365*1.05</f>
        <v>0</v>
      </c>
      <c r="D365" s="425">
        <f t="shared" si="120"/>
        <v>0</v>
      </c>
    </row>
    <row r="366" spans="1:4" ht="15.65" x14ac:dyDescent="0.3">
      <c r="A366" s="423" t="s">
        <v>879</v>
      </c>
      <c r="B366" s="424">
        <v>0</v>
      </c>
      <c r="C366" s="425">
        <f t="shared" ref="C366:C367" si="131">B366*1.05</f>
        <v>0</v>
      </c>
      <c r="D366" s="425">
        <f t="shared" si="120"/>
        <v>0</v>
      </c>
    </row>
    <row r="367" spans="1:4" ht="15.65" x14ac:dyDescent="0.3">
      <c r="A367" s="423" t="s">
        <v>880</v>
      </c>
      <c r="B367" s="424">
        <v>200000</v>
      </c>
      <c r="C367" s="425">
        <f t="shared" si="131"/>
        <v>210000</v>
      </c>
      <c r="D367" s="425">
        <f t="shared" si="120"/>
        <v>220500</v>
      </c>
    </row>
    <row r="368" spans="1:4" ht="15.65" x14ac:dyDescent="0.3">
      <c r="A368" s="426" t="s">
        <v>854</v>
      </c>
      <c r="B368" s="430">
        <f>B370+B369</f>
        <v>638102</v>
      </c>
      <c r="C368" s="430">
        <f t="shared" ref="C368:D368" si="132">C370+C369</f>
        <v>670007.1</v>
      </c>
      <c r="D368" s="430">
        <f t="shared" si="132"/>
        <v>703507.45500000007</v>
      </c>
    </row>
    <row r="369" spans="1:7" ht="15.65" x14ac:dyDescent="0.3">
      <c r="A369" s="423" t="s">
        <v>855</v>
      </c>
      <c r="B369" s="424">
        <v>78102</v>
      </c>
      <c r="C369" s="425">
        <f>B369*1.05</f>
        <v>82007.100000000006</v>
      </c>
      <c r="D369" s="425">
        <f t="shared" ref="D369:D370" si="133">1.05*C369</f>
        <v>86107.455000000016</v>
      </c>
    </row>
    <row r="370" spans="1:7" ht="15.65" x14ac:dyDescent="0.3">
      <c r="A370" s="423" t="s">
        <v>856</v>
      </c>
      <c r="B370" s="424">
        <v>560000</v>
      </c>
      <c r="C370" s="425">
        <f>B370*1.05</f>
        <v>588000</v>
      </c>
      <c r="D370" s="425">
        <f t="shared" si="133"/>
        <v>617400</v>
      </c>
    </row>
    <row r="371" spans="1:7" ht="15.65" x14ac:dyDescent="0.3">
      <c r="A371" s="435" t="s">
        <v>862</v>
      </c>
      <c r="B371" s="430">
        <f>SUM(B364+B362+B358+B355+B348+B345+B341+B338+B368)</f>
        <v>16290307</v>
      </c>
      <c r="C371" s="430">
        <f t="shared" ref="C371:D371" si="134">SUM(C364+C358+C354+C345+C341+C338+C368)</f>
        <v>10464827.1</v>
      </c>
      <c r="D371" s="430">
        <f t="shared" si="134"/>
        <v>10988068.455</v>
      </c>
    </row>
    <row r="372" spans="1:7" ht="15.65" x14ac:dyDescent="0.3">
      <c r="A372" s="426" t="s">
        <v>1122</v>
      </c>
      <c r="B372" s="430"/>
      <c r="C372" s="430"/>
      <c r="D372" s="430"/>
      <c r="G372" s="6">
        <v>18425107</v>
      </c>
    </row>
    <row r="373" spans="1:7" x14ac:dyDescent="0.35">
      <c r="A373" s="842" t="s">
        <v>803</v>
      </c>
      <c r="B373" s="417" t="s">
        <v>1066</v>
      </c>
      <c r="C373" s="843" t="s">
        <v>805</v>
      </c>
      <c r="D373" s="843"/>
      <c r="G373" s="458">
        <f>G372-B371</f>
        <v>2134800</v>
      </c>
    </row>
    <row r="374" spans="1:7" x14ac:dyDescent="0.35">
      <c r="A374" s="842"/>
      <c r="B374" s="419" t="s">
        <v>1067</v>
      </c>
      <c r="C374" s="420" t="s">
        <v>806</v>
      </c>
      <c r="D374" s="420" t="s">
        <v>807</v>
      </c>
    </row>
    <row r="375" spans="1:7" ht="15.65" x14ac:dyDescent="0.3">
      <c r="A375" s="426" t="s">
        <v>817</v>
      </c>
      <c r="B375" s="427">
        <f>SUM(B377+B376)</f>
        <v>0</v>
      </c>
      <c r="C375" s="427">
        <f t="shared" ref="C375:D375" si="135">SUM(C377+C376)</f>
        <v>0</v>
      </c>
      <c r="D375" s="427">
        <f t="shared" si="135"/>
        <v>0</v>
      </c>
    </row>
    <row r="376" spans="1:7" ht="15.65" x14ac:dyDescent="0.3">
      <c r="A376" s="423" t="s">
        <v>818</v>
      </c>
      <c r="B376" s="424">
        <v>0</v>
      </c>
      <c r="C376" s="425">
        <f>B376*1.05</f>
        <v>0</v>
      </c>
      <c r="D376" s="425">
        <f t="shared" ref="D376:D377" si="136">1.05*C376</f>
        <v>0</v>
      </c>
    </row>
    <row r="377" spans="1:7" ht="15.65" x14ac:dyDescent="0.3">
      <c r="A377" s="423" t="s">
        <v>819</v>
      </c>
      <c r="B377" s="424">
        <v>0</v>
      </c>
      <c r="C377" s="425">
        <f>B377*1.05</f>
        <v>0</v>
      </c>
      <c r="D377" s="425">
        <f t="shared" si="136"/>
        <v>0</v>
      </c>
    </row>
    <row r="378" spans="1:7" ht="15.65" x14ac:dyDescent="0.3">
      <c r="A378" s="426" t="s">
        <v>820</v>
      </c>
      <c r="B378" s="427">
        <f>SUM(B379)</f>
        <v>396000</v>
      </c>
      <c r="C378" s="427">
        <f t="shared" ref="C378:D378" si="137">SUM(C379)</f>
        <v>415800</v>
      </c>
      <c r="D378" s="427">
        <f t="shared" si="137"/>
        <v>436590</v>
      </c>
    </row>
    <row r="379" spans="1:7" ht="15.65" x14ac:dyDescent="0.3">
      <c r="A379" s="423" t="s">
        <v>821</v>
      </c>
      <c r="B379" s="424">
        <v>396000</v>
      </c>
      <c r="C379" s="425">
        <f>B379*1.05</f>
        <v>415800</v>
      </c>
      <c r="D379" s="425">
        <f t="shared" ref="D379" si="138">1.05*C379</f>
        <v>436590</v>
      </c>
    </row>
    <row r="380" spans="1:7" ht="15.65" x14ac:dyDescent="0.3">
      <c r="A380" s="426" t="s">
        <v>822</v>
      </c>
      <c r="B380" s="427">
        <f>B381+B382+B383+B384+B385</f>
        <v>3868430</v>
      </c>
      <c r="C380" s="427">
        <f t="shared" ref="C380:D380" si="139">C381+C382+C383+C384+C385</f>
        <v>4061851.5</v>
      </c>
      <c r="D380" s="427">
        <f t="shared" si="139"/>
        <v>4264944.0750000002</v>
      </c>
    </row>
    <row r="381" spans="1:7" ht="15.65" x14ac:dyDescent="0.3">
      <c r="A381" s="423" t="s">
        <v>823</v>
      </c>
      <c r="B381" s="424">
        <v>0</v>
      </c>
      <c r="C381" s="425">
        <f>B381*1.05</f>
        <v>0</v>
      </c>
      <c r="D381" s="425">
        <f t="shared" ref="D381:D385" si="140">1.05*C381</f>
        <v>0</v>
      </c>
    </row>
    <row r="382" spans="1:7" ht="15.65" x14ac:dyDescent="0.3">
      <c r="A382" s="423" t="s">
        <v>824</v>
      </c>
      <c r="B382" s="424">
        <v>0</v>
      </c>
      <c r="C382" s="425">
        <f t="shared" ref="C382:C385" si="141">B382*1.05</f>
        <v>0</v>
      </c>
      <c r="D382" s="425">
        <f t="shared" si="140"/>
        <v>0</v>
      </c>
    </row>
    <row r="383" spans="1:7" ht="15.65" x14ac:dyDescent="0.3">
      <c r="A383" s="423" t="s">
        <v>825</v>
      </c>
      <c r="B383" s="424">
        <v>848400</v>
      </c>
      <c r="C383" s="425">
        <f t="shared" si="141"/>
        <v>890820</v>
      </c>
      <c r="D383" s="425">
        <f t="shared" si="140"/>
        <v>935361</v>
      </c>
    </row>
    <row r="384" spans="1:7" ht="15.65" x14ac:dyDescent="0.3">
      <c r="A384" s="423" t="s">
        <v>826</v>
      </c>
      <c r="B384" s="424">
        <v>3020030</v>
      </c>
      <c r="C384" s="425">
        <f t="shared" si="141"/>
        <v>3171031.5</v>
      </c>
      <c r="D384" s="425">
        <f t="shared" si="140"/>
        <v>3329583.0750000002</v>
      </c>
    </row>
    <row r="385" spans="1:6" ht="15.65" x14ac:dyDescent="0.3">
      <c r="A385" s="423" t="s">
        <v>872</v>
      </c>
      <c r="B385" s="424">
        <v>0</v>
      </c>
      <c r="C385" s="425">
        <f t="shared" si="141"/>
        <v>0</v>
      </c>
      <c r="D385" s="425">
        <f t="shared" si="140"/>
        <v>0</v>
      </c>
    </row>
    <row r="386" spans="1:6" ht="15.65" x14ac:dyDescent="0.3">
      <c r="A386" s="426" t="s">
        <v>830</v>
      </c>
      <c r="B386" s="427">
        <f>SUM(B387+B388)</f>
        <v>430000</v>
      </c>
      <c r="C386" s="427">
        <f t="shared" ref="C386:D386" si="142">SUM(C387+C388)</f>
        <v>451500</v>
      </c>
      <c r="D386" s="427">
        <f t="shared" si="142"/>
        <v>474075</v>
      </c>
    </row>
    <row r="387" spans="1:6" ht="15.65" x14ac:dyDescent="0.3">
      <c r="A387" s="423" t="s">
        <v>831</v>
      </c>
      <c r="B387" s="424">
        <v>430000</v>
      </c>
      <c r="C387" s="425">
        <f>B387*1.05</f>
        <v>451500</v>
      </c>
      <c r="D387" s="425">
        <f t="shared" ref="D387:D388" si="143">1.05*C387</f>
        <v>474075</v>
      </c>
    </row>
    <row r="388" spans="1:6" ht="15.65" x14ac:dyDescent="0.3">
      <c r="A388" s="423" t="s">
        <v>873</v>
      </c>
      <c r="B388" s="424">
        <v>0</v>
      </c>
      <c r="C388" s="425">
        <f>B388*1.05</f>
        <v>0</v>
      </c>
      <c r="D388" s="425">
        <f t="shared" si="143"/>
        <v>0</v>
      </c>
    </row>
    <row r="389" spans="1:6" ht="16.25" thickBot="1" x14ac:dyDescent="0.35">
      <c r="A389" s="453" t="s">
        <v>1086</v>
      </c>
      <c r="B389" s="430">
        <f>B390+B391+B392+B393+B394+B395</f>
        <v>1554400</v>
      </c>
      <c r="C389" s="430">
        <f t="shared" ref="C389:D389" si="144">C390+C391+C393+C394+C395</f>
        <v>1632120</v>
      </c>
      <c r="D389" s="430">
        <f t="shared" si="144"/>
        <v>1713726</v>
      </c>
    </row>
    <row r="390" spans="1:6" ht="16.25" thickBot="1" x14ac:dyDescent="0.35">
      <c r="A390" s="431" t="s">
        <v>1087</v>
      </c>
      <c r="B390" s="424"/>
      <c r="C390" s="425">
        <f>B390*1.05</f>
        <v>0</v>
      </c>
      <c r="D390" s="425">
        <f>C390*1.05</f>
        <v>0</v>
      </c>
    </row>
    <row r="391" spans="1:6" ht="16.25" thickBot="1" x14ac:dyDescent="0.35">
      <c r="A391" s="431" t="s">
        <v>1088</v>
      </c>
      <c r="B391" s="424">
        <v>0</v>
      </c>
      <c r="C391" s="425">
        <f t="shared" ref="C391:D391" si="145">B391*1.05</f>
        <v>0</v>
      </c>
      <c r="D391" s="425">
        <f t="shared" si="145"/>
        <v>0</v>
      </c>
    </row>
    <row r="392" spans="1:6" ht="16.25" thickBot="1" x14ac:dyDescent="0.35">
      <c r="A392" s="65" t="s">
        <v>1119</v>
      </c>
      <c r="B392" s="461"/>
      <c r="C392" s="425"/>
      <c r="D392" s="425"/>
    </row>
    <row r="393" spans="1:6" ht="16.25" thickBot="1" x14ac:dyDescent="0.35">
      <c r="A393" s="431" t="s">
        <v>1089</v>
      </c>
      <c r="B393" s="424"/>
      <c r="C393" s="425">
        <f t="shared" ref="C393:D395" si="146">B393*1.05</f>
        <v>0</v>
      </c>
      <c r="D393" s="425">
        <f t="shared" si="146"/>
        <v>0</v>
      </c>
    </row>
    <row r="394" spans="1:6" ht="16.25" thickBot="1" x14ac:dyDescent="0.35">
      <c r="A394" s="431" t="s">
        <v>1090</v>
      </c>
      <c r="B394" s="424">
        <v>554400</v>
      </c>
      <c r="C394" s="425">
        <f t="shared" si="146"/>
        <v>582120</v>
      </c>
      <c r="D394" s="425">
        <f t="shared" si="146"/>
        <v>611226</v>
      </c>
      <c r="F394" s="6" t="s">
        <v>338</v>
      </c>
    </row>
    <row r="395" spans="1:6" ht="16.25" thickBot="1" x14ac:dyDescent="0.35">
      <c r="A395" s="431" t="s">
        <v>1091</v>
      </c>
      <c r="B395" s="424">
        <v>1000000</v>
      </c>
      <c r="C395" s="425">
        <f t="shared" si="146"/>
        <v>1050000</v>
      </c>
      <c r="D395" s="425">
        <f t="shared" si="146"/>
        <v>1102500</v>
      </c>
    </row>
    <row r="396" spans="1:6" ht="15.65" x14ac:dyDescent="0.3">
      <c r="A396" s="426" t="s">
        <v>836</v>
      </c>
      <c r="B396" s="427">
        <f>SUM(B397+B398)</f>
        <v>4657070</v>
      </c>
      <c r="C396" s="427">
        <f t="shared" ref="C396:D396" si="147">SUM(C397+C398)</f>
        <v>4889923.5</v>
      </c>
      <c r="D396" s="427">
        <f t="shared" si="147"/>
        <v>5134419.6749999998</v>
      </c>
    </row>
    <row r="397" spans="1:6" ht="15.65" x14ac:dyDescent="0.3">
      <c r="A397" s="423" t="s">
        <v>837</v>
      </c>
      <c r="B397" s="424">
        <v>0</v>
      </c>
      <c r="C397" s="425">
        <f>B397*1.05</f>
        <v>0</v>
      </c>
      <c r="D397" s="425">
        <f t="shared" ref="D397:D398" si="148">1.05*C397</f>
        <v>0</v>
      </c>
    </row>
    <row r="398" spans="1:6" ht="15.65" x14ac:dyDescent="0.3">
      <c r="A398" s="423" t="s">
        <v>838</v>
      </c>
      <c r="B398" s="424">
        <f>7605265-948195-1000000-1000000</f>
        <v>4657070</v>
      </c>
      <c r="C398" s="425">
        <f>B398*1.05</f>
        <v>4889923.5</v>
      </c>
      <c r="D398" s="425">
        <f t="shared" si="148"/>
        <v>5134419.6749999998</v>
      </c>
    </row>
    <row r="399" spans="1:6" ht="15.65" x14ac:dyDescent="0.3">
      <c r="A399" s="426" t="s">
        <v>843</v>
      </c>
      <c r="B399" s="427">
        <f>SUM(B400+B401)</f>
        <v>69100</v>
      </c>
      <c r="C399" s="427">
        <f t="shared" ref="C399:D399" si="149">SUM(C400+C401)</f>
        <v>72555</v>
      </c>
      <c r="D399" s="427">
        <f t="shared" si="149"/>
        <v>76182.75</v>
      </c>
    </row>
    <row r="400" spans="1:6" ht="15.65" x14ac:dyDescent="0.3">
      <c r="A400" s="423" t="s">
        <v>844</v>
      </c>
      <c r="B400" s="424">
        <v>69100</v>
      </c>
      <c r="C400" s="425">
        <f>B400*1.05</f>
        <v>72555</v>
      </c>
      <c r="D400" s="425">
        <f t="shared" ref="D400:D401" si="150">1.05*C400</f>
        <v>76182.75</v>
      </c>
    </row>
    <row r="401" spans="1:7" ht="15.65" x14ac:dyDescent="0.3">
      <c r="A401" s="423" t="s">
        <v>845</v>
      </c>
      <c r="B401" s="424">
        <v>0</v>
      </c>
      <c r="C401" s="425">
        <f>B401*1.05</f>
        <v>0</v>
      </c>
      <c r="D401" s="425">
        <f t="shared" si="150"/>
        <v>0</v>
      </c>
    </row>
    <row r="402" spans="1:7" ht="15.65" x14ac:dyDescent="0.3">
      <c r="A402" s="426" t="s">
        <v>846</v>
      </c>
      <c r="B402" s="424">
        <f>B403</f>
        <v>655000</v>
      </c>
      <c r="C402" s="424">
        <f t="shared" ref="C402:D402" si="151">C403</f>
        <v>687750</v>
      </c>
      <c r="D402" s="424">
        <f t="shared" si="151"/>
        <v>722137.5</v>
      </c>
    </row>
    <row r="403" spans="1:7" ht="15.65" x14ac:dyDescent="0.3">
      <c r="A403" s="432" t="s">
        <v>847</v>
      </c>
      <c r="B403" s="424">
        <v>655000</v>
      </c>
      <c r="C403" s="425">
        <f>B403*1.05</f>
        <v>687750</v>
      </c>
      <c r="D403" s="425">
        <f>C403*1.05</f>
        <v>722137.5</v>
      </c>
    </row>
    <row r="404" spans="1:7" ht="15.65" x14ac:dyDescent="0.3">
      <c r="A404" s="426" t="s">
        <v>848</v>
      </c>
      <c r="B404" s="427">
        <f>B405+B406</f>
        <v>505000</v>
      </c>
      <c r="C404" s="427">
        <f t="shared" ref="C404:D404" si="152">C405+C406</f>
        <v>530250</v>
      </c>
      <c r="D404" s="427">
        <f t="shared" si="152"/>
        <v>556762.5</v>
      </c>
    </row>
    <row r="405" spans="1:7" ht="15.65" x14ac:dyDescent="0.3">
      <c r="A405" s="423" t="s">
        <v>849</v>
      </c>
      <c r="B405" s="424">
        <v>0</v>
      </c>
      <c r="C405" s="425">
        <f>B405*1.05</f>
        <v>0</v>
      </c>
      <c r="D405" s="425">
        <f t="shared" ref="D405:D406" si="153">1.05*C405</f>
        <v>0</v>
      </c>
    </row>
    <row r="406" spans="1:7" ht="15.65" x14ac:dyDescent="0.3">
      <c r="A406" s="423" t="s">
        <v>1111</v>
      </c>
      <c r="B406" s="424">
        <v>505000</v>
      </c>
      <c r="C406" s="425">
        <f>B406*1.05</f>
        <v>530250</v>
      </c>
      <c r="D406" s="425">
        <f t="shared" si="153"/>
        <v>556762.5</v>
      </c>
    </row>
    <row r="407" spans="1:7" ht="15.65" x14ac:dyDescent="0.3">
      <c r="A407" s="426" t="s">
        <v>877</v>
      </c>
      <c r="B407" s="427">
        <f>SUM(B408)</f>
        <v>0</v>
      </c>
      <c r="C407" s="427">
        <f t="shared" ref="C407:D407" si="154">SUM(C408)</f>
        <v>0</v>
      </c>
      <c r="D407" s="427">
        <f t="shared" si="154"/>
        <v>0</v>
      </c>
    </row>
    <row r="408" spans="1:7" ht="15.65" x14ac:dyDescent="0.3">
      <c r="A408" s="423" t="s">
        <v>880</v>
      </c>
      <c r="B408" s="424">
        <v>0</v>
      </c>
      <c r="C408" s="425">
        <f>B408*1.05</f>
        <v>0</v>
      </c>
      <c r="D408" s="425">
        <f t="shared" ref="D408" si="155">1.05*C408</f>
        <v>0</v>
      </c>
    </row>
    <row r="409" spans="1:7" ht="15.65" x14ac:dyDescent="0.3">
      <c r="A409" s="426" t="s">
        <v>854</v>
      </c>
      <c r="B409" s="427">
        <f>B410+B411+B412</f>
        <v>865000</v>
      </c>
      <c r="C409" s="427">
        <f t="shared" ref="C409:D409" si="156">SUM(C411+C412)</f>
        <v>567000</v>
      </c>
      <c r="D409" s="427">
        <f t="shared" si="156"/>
        <v>595350</v>
      </c>
    </row>
    <row r="410" spans="1:7" ht="15.65" x14ac:dyDescent="0.3">
      <c r="A410" s="423" t="s">
        <v>855</v>
      </c>
      <c r="B410" s="424">
        <v>325000</v>
      </c>
      <c r="C410" s="425">
        <f>B410*1.05</f>
        <v>341250</v>
      </c>
      <c r="D410" s="425">
        <f t="shared" ref="D410:D412" si="157">1.05*C410</f>
        <v>358312.5</v>
      </c>
    </row>
    <row r="411" spans="1:7" ht="15.65" x14ac:dyDescent="0.3">
      <c r="A411" s="423" t="s">
        <v>856</v>
      </c>
      <c r="B411" s="424">
        <v>540000</v>
      </c>
      <c r="C411" s="425">
        <f>B411*1.05</f>
        <v>567000</v>
      </c>
      <c r="D411" s="425">
        <f t="shared" si="157"/>
        <v>595350</v>
      </c>
      <c r="F411" s="6">
        <v>15880555</v>
      </c>
    </row>
    <row r="412" spans="1:7" ht="15.65" x14ac:dyDescent="0.3">
      <c r="A412" s="423" t="s">
        <v>1123</v>
      </c>
      <c r="B412" s="424">
        <v>0</v>
      </c>
      <c r="C412" s="425">
        <f>B412*1.05</f>
        <v>0</v>
      </c>
      <c r="D412" s="425">
        <f t="shared" si="157"/>
        <v>0</v>
      </c>
      <c r="F412" s="458">
        <f>B413-F411</f>
        <v>-2880555</v>
      </c>
    </row>
    <row r="413" spans="1:7" ht="15.65" x14ac:dyDescent="0.3">
      <c r="A413" s="435" t="s">
        <v>862</v>
      </c>
      <c r="B413" s="430">
        <f>SUM(B409+B407+B404+B402+B399+B396+B389+B386+B380+B378+B375)</f>
        <v>13000000</v>
      </c>
      <c r="C413" s="430">
        <f>SUM(C409+C407+C404+C399+C395+C386+C380+C378+C375)</f>
        <v>7148956.5</v>
      </c>
      <c r="D413" s="430">
        <f>SUM(D409+D407+D404+D399+D395+D386+D380+D378+D375)</f>
        <v>7506404.3250000002</v>
      </c>
      <c r="G413" s="6">
        <v>15000000</v>
      </c>
    </row>
    <row r="414" spans="1:7" ht="15.65" x14ac:dyDescent="0.3">
      <c r="A414" s="426" t="s">
        <v>1124</v>
      </c>
      <c r="B414" s="430"/>
      <c r="C414" s="430"/>
      <c r="D414" s="430"/>
      <c r="G414" s="458">
        <f>B413-G413</f>
        <v>-2000000</v>
      </c>
    </row>
    <row r="415" spans="1:7" ht="15.65" customHeight="1" x14ac:dyDescent="0.35">
      <c r="A415" s="842" t="s">
        <v>803</v>
      </c>
      <c r="B415" s="417" t="s">
        <v>1066</v>
      </c>
      <c r="C415" s="844" t="s">
        <v>805</v>
      </c>
      <c r="D415" s="845"/>
    </row>
    <row r="416" spans="1:7" x14ac:dyDescent="0.35">
      <c r="A416" s="842"/>
      <c r="B416" s="419" t="s">
        <v>1067</v>
      </c>
      <c r="C416" s="420" t="s">
        <v>806</v>
      </c>
      <c r="D416" s="420" t="s">
        <v>807</v>
      </c>
    </row>
    <row r="417" spans="1:4" ht="15.65" x14ac:dyDescent="0.3">
      <c r="A417" s="426" t="s">
        <v>817</v>
      </c>
      <c r="B417" s="427">
        <f>SUM(B419+B418)</f>
        <v>0</v>
      </c>
      <c r="C417" s="427">
        <f t="shared" ref="C417:D417" si="158">SUM(C419+C418)</f>
        <v>0</v>
      </c>
      <c r="D417" s="427">
        <f t="shared" si="158"/>
        <v>0</v>
      </c>
    </row>
    <row r="418" spans="1:4" ht="15.65" x14ac:dyDescent="0.3">
      <c r="A418" s="423" t="s">
        <v>818</v>
      </c>
      <c r="B418" s="424">
        <v>0</v>
      </c>
      <c r="C418" s="425">
        <f>B418*1.05</f>
        <v>0</v>
      </c>
      <c r="D418" s="425">
        <f t="shared" ref="D418:D451" si="159">1.05*C418</f>
        <v>0</v>
      </c>
    </row>
    <row r="419" spans="1:4" ht="15.65" x14ac:dyDescent="0.3">
      <c r="A419" s="423" t="s">
        <v>819</v>
      </c>
      <c r="B419" s="424">
        <v>0</v>
      </c>
      <c r="C419" s="425">
        <f>B419*1.05</f>
        <v>0</v>
      </c>
      <c r="D419" s="425">
        <f t="shared" si="159"/>
        <v>0</v>
      </c>
    </row>
    <row r="420" spans="1:4" ht="15.65" x14ac:dyDescent="0.3">
      <c r="A420" s="426" t="s">
        <v>820</v>
      </c>
      <c r="B420" s="427">
        <f>SUM(B421)</f>
        <v>212000</v>
      </c>
      <c r="C420" s="427">
        <f t="shared" ref="C420:D420" si="160">SUM(C421)</f>
        <v>222600</v>
      </c>
      <c r="D420" s="427">
        <f t="shared" si="160"/>
        <v>233730</v>
      </c>
    </row>
    <row r="421" spans="1:4" ht="15.65" x14ac:dyDescent="0.3">
      <c r="A421" s="423" t="s">
        <v>821</v>
      </c>
      <c r="B421" s="424">
        <v>212000</v>
      </c>
      <c r="C421" s="425">
        <f>B421*1.05</f>
        <v>222600</v>
      </c>
      <c r="D421" s="425">
        <f t="shared" si="159"/>
        <v>233730</v>
      </c>
    </row>
    <row r="422" spans="1:4" ht="15.65" x14ac:dyDescent="0.3">
      <c r="A422" s="426" t="s">
        <v>822</v>
      </c>
      <c r="B422" s="427">
        <f>SUM(B423+B424+B425+B426)</f>
        <v>2421090</v>
      </c>
      <c r="C422" s="427">
        <f t="shared" ref="C422:D422" si="161">SUM(C423+C424+C425+C426)</f>
        <v>2542144.5</v>
      </c>
      <c r="D422" s="427">
        <f t="shared" si="161"/>
        <v>2669251.7250000001</v>
      </c>
    </row>
    <row r="423" spans="1:4" ht="15.65" x14ac:dyDescent="0.3">
      <c r="A423" s="423" t="s">
        <v>823</v>
      </c>
      <c r="B423" s="424">
        <v>0</v>
      </c>
      <c r="C423" s="425">
        <f>B423*1.05</f>
        <v>0</v>
      </c>
      <c r="D423" s="425">
        <f t="shared" si="159"/>
        <v>0</v>
      </c>
    </row>
    <row r="424" spans="1:4" ht="15.65" x14ac:dyDescent="0.3">
      <c r="A424" s="423" t="s">
        <v>824</v>
      </c>
      <c r="B424" s="424">
        <v>0</v>
      </c>
      <c r="C424" s="425">
        <f t="shared" ref="C424:C426" si="162">B424*1.05</f>
        <v>0</v>
      </c>
      <c r="D424" s="425">
        <f t="shared" si="159"/>
        <v>0</v>
      </c>
    </row>
    <row r="425" spans="1:4" ht="15.65" x14ac:dyDescent="0.3">
      <c r="A425" s="423" t="s">
        <v>825</v>
      </c>
      <c r="B425" s="424">
        <v>2421090</v>
      </c>
      <c r="C425" s="425">
        <f t="shared" si="162"/>
        <v>2542144.5</v>
      </c>
      <c r="D425" s="425">
        <f t="shared" si="159"/>
        <v>2669251.7250000001</v>
      </c>
    </row>
    <row r="426" spans="1:4" ht="15.65" x14ac:dyDescent="0.3">
      <c r="A426" s="423" t="s">
        <v>826</v>
      </c>
      <c r="B426" s="424">
        <v>0</v>
      </c>
      <c r="C426" s="425">
        <f t="shared" si="162"/>
        <v>0</v>
      </c>
      <c r="D426" s="425">
        <f t="shared" si="159"/>
        <v>0</v>
      </c>
    </row>
    <row r="427" spans="1:4" ht="15.65" x14ac:dyDescent="0.3">
      <c r="A427" s="426" t="s">
        <v>830</v>
      </c>
      <c r="B427" s="427">
        <f>SUM(B428+B429)</f>
        <v>42000</v>
      </c>
      <c r="C427" s="427">
        <f t="shared" ref="C427:D427" si="163">SUM(C428+C429)</f>
        <v>44100</v>
      </c>
      <c r="D427" s="427">
        <f t="shared" si="163"/>
        <v>46305</v>
      </c>
    </row>
    <row r="428" spans="1:4" ht="15.65" x14ac:dyDescent="0.3">
      <c r="A428" s="423" t="s">
        <v>831</v>
      </c>
      <c r="B428" s="424">
        <v>42000</v>
      </c>
      <c r="C428" s="425">
        <f>B428*1.05</f>
        <v>44100</v>
      </c>
      <c r="D428" s="425">
        <f t="shared" si="159"/>
        <v>46305</v>
      </c>
    </row>
    <row r="429" spans="1:4" ht="15.65" x14ac:dyDescent="0.3">
      <c r="A429" s="423" t="s">
        <v>873</v>
      </c>
      <c r="B429" s="424">
        <v>0</v>
      </c>
      <c r="C429" s="425">
        <f>B429*1.05</f>
        <v>0</v>
      </c>
      <c r="D429" s="425">
        <f t="shared" si="159"/>
        <v>0</v>
      </c>
    </row>
    <row r="430" spans="1:4" ht="16.25" thickBot="1" x14ac:dyDescent="0.35">
      <c r="A430" s="453" t="s">
        <v>1086</v>
      </c>
      <c r="B430" s="430">
        <f>B431+B432+B433+B434+B435+B436</f>
        <v>389000</v>
      </c>
      <c r="C430" s="430">
        <f t="shared" ref="C430:D430" si="164">C431+C432+C434+C435+C436</f>
        <v>408450</v>
      </c>
      <c r="D430" s="430">
        <f t="shared" si="164"/>
        <v>428872.5</v>
      </c>
    </row>
    <row r="431" spans="1:4" ht="16.25" thickBot="1" x14ac:dyDescent="0.35">
      <c r="A431" s="431" t="s">
        <v>1087</v>
      </c>
      <c r="B431" s="424">
        <v>35000</v>
      </c>
      <c r="C431" s="425">
        <f>B431*1.05</f>
        <v>36750</v>
      </c>
      <c r="D431" s="425">
        <f>C431*1.05</f>
        <v>38587.5</v>
      </c>
    </row>
    <row r="432" spans="1:4" ht="16.25" thickBot="1" x14ac:dyDescent="0.35">
      <c r="A432" s="431" t="s">
        <v>1088</v>
      </c>
      <c r="B432" s="424">
        <v>0</v>
      </c>
      <c r="C432" s="425">
        <f t="shared" ref="C432:D432" si="165">B432*1.05</f>
        <v>0</v>
      </c>
      <c r="D432" s="425">
        <f t="shared" si="165"/>
        <v>0</v>
      </c>
    </row>
    <row r="433" spans="1:4" ht="16.25" thickBot="1" x14ac:dyDescent="0.35">
      <c r="A433" s="65" t="s">
        <v>1119</v>
      </c>
      <c r="B433" s="461"/>
      <c r="C433" s="425"/>
      <c r="D433" s="425"/>
    </row>
    <row r="434" spans="1:4" ht="16.25" thickBot="1" x14ac:dyDescent="0.35">
      <c r="A434" s="431" t="s">
        <v>1089</v>
      </c>
      <c r="B434" s="424"/>
      <c r="C434" s="425">
        <f t="shared" ref="C434:D436" si="166">B434*1.05</f>
        <v>0</v>
      </c>
      <c r="D434" s="425">
        <f t="shared" si="166"/>
        <v>0</v>
      </c>
    </row>
    <row r="435" spans="1:4" ht="16.25" thickBot="1" x14ac:dyDescent="0.35">
      <c r="A435" s="431" t="s">
        <v>1090</v>
      </c>
      <c r="B435" s="424">
        <v>154000</v>
      </c>
      <c r="C435" s="425">
        <f t="shared" si="166"/>
        <v>161700</v>
      </c>
      <c r="D435" s="425">
        <f t="shared" si="166"/>
        <v>169785</v>
      </c>
    </row>
    <row r="436" spans="1:4" ht="16.25" thickBot="1" x14ac:dyDescent="0.35">
      <c r="A436" s="431" t="s">
        <v>1091</v>
      </c>
      <c r="B436" s="424">
        <v>200000</v>
      </c>
      <c r="C436" s="425">
        <f t="shared" si="166"/>
        <v>210000</v>
      </c>
      <c r="D436" s="425">
        <f t="shared" si="166"/>
        <v>220500</v>
      </c>
    </row>
    <row r="437" spans="1:4" ht="15.65" x14ac:dyDescent="0.3">
      <c r="A437" s="426" t="s">
        <v>836</v>
      </c>
      <c r="B437" s="427">
        <f>SUM(B438+B439)</f>
        <v>104910</v>
      </c>
      <c r="C437" s="427">
        <f t="shared" ref="C437:D437" si="167">SUM(C438+C439)</f>
        <v>110155.5</v>
      </c>
      <c r="D437" s="427">
        <f t="shared" si="167"/>
        <v>115663.27500000001</v>
      </c>
    </row>
    <row r="438" spans="1:4" ht="15.65" x14ac:dyDescent="0.3">
      <c r="A438" s="423" t="s">
        <v>837</v>
      </c>
      <c r="B438" s="424">
        <v>104910</v>
      </c>
      <c r="C438" s="425">
        <f>B438*1.05</f>
        <v>110155.5</v>
      </c>
      <c r="D438" s="425">
        <f t="shared" si="159"/>
        <v>115663.27500000001</v>
      </c>
    </row>
    <row r="439" spans="1:4" ht="15.65" x14ac:dyDescent="0.3">
      <c r="A439" s="423" t="s">
        <v>838</v>
      </c>
      <c r="B439" s="424">
        <v>0</v>
      </c>
      <c r="C439" s="425">
        <f>B439*1.05</f>
        <v>0</v>
      </c>
      <c r="D439" s="425">
        <f t="shared" si="159"/>
        <v>0</v>
      </c>
    </row>
    <row r="440" spans="1:4" ht="15.65" x14ac:dyDescent="0.3">
      <c r="A440" s="426" t="s">
        <v>843</v>
      </c>
      <c r="B440" s="427">
        <f>SUM(B441+B442)</f>
        <v>79000</v>
      </c>
      <c r="C440" s="427">
        <f t="shared" ref="C440:D440" si="168">SUM(C441+C442)</f>
        <v>82950</v>
      </c>
      <c r="D440" s="427">
        <f t="shared" si="168"/>
        <v>87097.5</v>
      </c>
    </row>
    <row r="441" spans="1:4" ht="15.65" x14ac:dyDescent="0.3">
      <c r="A441" s="423" t="s">
        <v>844</v>
      </c>
      <c r="B441" s="424">
        <v>79000</v>
      </c>
      <c r="C441" s="425">
        <f>B441*1.05</f>
        <v>82950</v>
      </c>
      <c r="D441" s="425">
        <f t="shared" si="159"/>
        <v>87097.5</v>
      </c>
    </row>
    <row r="442" spans="1:4" ht="15.65" x14ac:dyDescent="0.3">
      <c r="A442" s="423" t="s">
        <v>845</v>
      </c>
      <c r="B442" s="424">
        <v>0</v>
      </c>
      <c r="C442" s="425">
        <f>B442*1.05</f>
        <v>0</v>
      </c>
      <c r="D442" s="425">
        <f t="shared" si="159"/>
        <v>0</v>
      </c>
    </row>
    <row r="443" spans="1:4" ht="15.65" x14ac:dyDescent="0.3">
      <c r="A443" s="426" t="s">
        <v>846</v>
      </c>
      <c r="B443" s="430">
        <f>B444</f>
        <v>216000</v>
      </c>
      <c r="C443" s="430">
        <f t="shared" ref="C443:D443" si="169">C444</f>
        <v>226800</v>
      </c>
      <c r="D443" s="430">
        <f t="shared" si="169"/>
        <v>238140</v>
      </c>
    </row>
    <row r="444" spans="1:4" ht="15.65" x14ac:dyDescent="0.3">
      <c r="A444" s="432" t="s">
        <v>847</v>
      </c>
      <c r="B444" s="424">
        <v>216000</v>
      </c>
      <c r="C444" s="425">
        <f>B444*1.05</f>
        <v>226800</v>
      </c>
      <c r="D444" s="425">
        <f>C444*1.05</f>
        <v>238140</v>
      </c>
    </row>
    <row r="445" spans="1:4" ht="15.65" x14ac:dyDescent="0.3">
      <c r="A445" s="426" t="s">
        <v>848</v>
      </c>
      <c r="B445" s="427">
        <f>SUM(B446)</f>
        <v>0</v>
      </c>
      <c r="C445" s="427">
        <f t="shared" ref="C445:D445" si="170">SUM(C446)</f>
        <v>0</v>
      </c>
      <c r="D445" s="427">
        <f t="shared" si="170"/>
        <v>0</v>
      </c>
    </row>
    <row r="446" spans="1:4" ht="15.65" x14ac:dyDescent="0.3">
      <c r="A446" s="423" t="s">
        <v>849</v>
      </c>
      <c r="B446" s="424">
        <v>0</v>
      </c>
      <c r="C446" s="425">
        <f>B446*1.05</f>
        <v>0</v>
      </c>
      <c r="D446" s="425">
        <f t="shared" si="159"/>
        <v>0</v>
      </c>
    </row>
    <row r="447" spans="1:4" ht="15.65" x14ac:dyDescent="0.3">
      <c r="A447" s="426" t="s">
        <v>877</v>
      </c>
      <c r="B447" s="427">
        <f>SUM(B448)</f>
        <v>6536000</v>
      </c>
      <c r="C447" s="427">
        <f t="shared" ref="C447:D447" si="171">SUM(C448)</f>
        <v>6862800</v>
      </c>
      <c r="D447" s="427">
        <f t="shared" si="171"/>
        <v>7205940</v>
      </c>
    </row>
    <row r="448" spans="1:4" ht="15.65" x14ac:dyDescent="0.3">
      <c r="A448" s="423" t="s">
        <v>880</v>
      </c>
      <c r="B448" s="424">
        <v>6536000</v>
      </c>
      <c r="C448" s="425">
        <f>B448*1.05</f>
        <v>6862800</v>
      </c>
      <c r="D448" s="425">
        <f t="shared" si="159"/>
        <v>7205940</v>
      </c>
    </row>
    <row r="449" spans="1:7" ht="15.65" x14ac:dyDescent="0.3">
      <c r="A449" s="426" t="s">
        <v>854</v>
      </c>
      <c r="B449" s="427">
        <f>SUM(B450+B451)</f>
        <v>0</v>
      </c>
      <c r="C449" s="427">
        <f t="shared" ref="C449:D449" si="172">SUM(C450+C451)</f>
        <v>0</v>
      </c>
      <c r="D449" s="427">
        <f t="shared" si="172"/>
        <v>0</v>
      </c>
    </row>
    <row r="450" spans="1:7" ht="15.65" x14ac:dyDescent="0.3">
      <c r="A450" s="423" t="s">
        <v>856</v>
      </c>
      <c r="B450" s="424">
        <v>0</v>
      </c>
      <c r="C450" s="425">
        <f>B450*1.05</f>
        <v>0</v>
      </c>
      <c r="D450" s="425">
        <f t="shared" si="159"/>
        <v>0</v>
      </c>
    </row>
    <row r="451" spans="1:7" ht="15.65" x14ac:dyDescent="0.3">
      <c r="A451" s="423" t="s">
        <v>1123</v>
      </c>
      <c r="B451" s="424">
        <v>0</v>
      </c>
      <c r="C451" s="425">
        <f>B451*1.05</f>
        <v>0</v>
      </c>
      <c r="D451" s="425">
        <f t="shared" si="159"/>
        <v>0</v>
      </c>
    </row>
    <row r="452" spans="1:7" ht="15.65" x14ac:dyDescent="0.3">
      <c r="A452" s="435" t="s">
        <v>862</v>
      </c>
      <c r="B452" s="430">
        <f>SUM(B449+B447+B445+B443+B440+B437+B430+B427+B422+B420+B417)</f>
        <v>10000000</v>
      </c>
      <c r="C452" s="430">
        <f t="shared" ref="C452:D452" si="173">SUM(C449+C447+C445+C443+C440+C437+C430+C427+C422+C420+C417)</f>
        <v>10500000</v>
      </c>
      <c r="D452" s="430">
        <f t="shared" si="173"/>
        <v>11025000</v>
      </c>
      <c r="G452" s="458">
        <f>10000000-B452</f>
        <v>0</v>
      </c>
    </row>
    <row r="453" spans="1:7" ht="15.65" x14ac:dyDescent="0.3">
      <c r="A453" s="436" t="s">
        <v>1125</v>
      </c>
      <c r="B453" s="430">
        <f>B452+B413+B371+B332+B309+B261+B231+B195+B158+B130+B84</f>
        <v>1137659735</v>
      </c>
      <c r="C453" s="430">
        <f>C452+C413+C371+C332+C309+C261+C231+C195+C158+C130+C84</f>
        <v>800554736.10000002</v>
      </c>
      <c r="D453" s="430">
        <f>D452+D413+D371+D332+D309+D261+D231+D195+D158+D130+D84</f>
        <v>840582472.90499997</v>
      </c>
    </row>
    <row r="454" spans="1:7" ht="15.65" x14ac:dyDescent="0.3">
      <c r="A454" s="27" t="s">
        <v>1126</v>
      </c>
      <c r="B454" s="454">
        <f>B98</f>
        <v>155718949.44999999</v>
      </c>
      <c r="C454" s="454">
        <f>C98</f>
        <v>163504896.92250001</v>
      </c>
      <c r="D454" s="454">
        <f>D98</f>
        <v>171680141.76862502</v>
      </c>
    </row>
    <row r="455" spans="1:7" ht="16.25" x14ac:dyDescent="0.35">
      <c r="A455" s="739" t="s">
        <v>1277</v>
      </c>
      <c r="B455" s="729">
        <f>B453+B454</f>
        <v>1293378684.45</v>
      </c>
      <c r="C455" s="729">
        <f t="shared" ref="C455:D455" si="174">C453+C454</f>
        <v>964059633.02250004</v>
      </c>
      <c r="D455" s="729">
        <f t="shared" si="174"/>
        <v>1012262614.673625</v>
      </c>
    </row>
    <row r="456" spans="1:7" ht="16.25" x14ac:dyDescent="0.35">
      <c r="A456" s="739" t="s">
        <v>1279</v>
      </c>
      <c r="B456" s="729">
        <f>'Local Rev.'!D6</f>
        <v>10000000</v>
      </c>
      <c r="C456" s="740">
        <f>B456*1.05</f>
        <v>10500000</v>
      </c>
      <c r="D456" s="740">
        <f t="shared" ref="D456" si="175">1.05*C456</f>
        <v>11025000</v>
      </c>
    </row>
    <row r="457" spans="1:7" ht="16.25" x14ac:dyDescent="0.35">
      <c r="A457" s="739" t="s">
        <v>1278</v>
      </c>
      <c r="B457" s="729">
        <f>B455-B456</f>
        <v>1283378684.45</v>
      </c>
      <c r="C457" s="729">
        <f t="shared" ref="C457:D457" si="176">C455-C456</f>
        <v>953559633.02250004</v>
      </c>
      <c r="D457" s="729">
        <f t="shared" si="176"/>
        <v>1001237614.673625</v>
      </c>
    </row>
    <row r="460" spans="1:7" ht="15.65" x14ac:dyDescent="0.3">
      <c r="B460" s="458"/>
    </row>
    <row r="462" spans="1:7" ht="15.65" x14ac:dyDescent="0.3">
      <c r="B462" s="458"/>
    </row>
  </sheetData>
  <protectedRanges>
    <protectedRange password="C43E" sqref="A61" name="Range1_3_1_1_1_1_1_2"/>
    <protectedRange password="C43E" sqref="B61" name="Range1_1_1_1_1_1_1_1_2"/>
    <protectedRange password="C43E" sqref="A182" name="Range1_3_1_1_1_1_1_3_1_3"/>
    <protectedRange password="C43E" sqref="B182" name="Range1_1_1_1_1_1_1_1_3_1_3"/>
    <protectedRange password="C43E" sqref="C336 C332" name="Range1_4_1_1_1_1_2"/>
    <protectedRange password="C43E" sqref="C339:C341" name="Range1_5_1_1_1_1_2"/>
    <protectedRange password="C43E" sqref="C344" name="Range1_6_1_1_1_1_2"/>
    <protectedRange password="C43E" sqref="C348" name="Range1_7_1_1_1_1_2"/>
    <protectedRange password="C43E" sqref="C373" name="Range1_12_1_1_1_1_2"/>
    <protectedRange password="C43E" sqref="C386" name="Range1_15_1_1_1_1_2"/>
    <protectedRange password="C43E" sqref="A388:B388" name="Range1_16_1_1_1_1_2"/>
  </protectedRanges>
  <mergeCells count="22">
    <mergeCell ref="A201:A202"/>
    <mergeCell ref="C201:D201"/>
    <mergeCell ref="A2:A3"/>
    <mergeCell ref="C2:D2"/>
    <mergeCell ref="A100:A101"/>
    <mergeCell ref="C100:D100"/>
    <mergeCell ref="A133:A134"/>
    <mergeCell ref="C133:D133"/>
    <mergeCell ref="A164:A165"/>
    <mergeCell ref="C164:D164"/>
    <mergeCell ref="A237:A238"/>
    <mergeCell ref="C237:D237"/>
    <mergeCell ref="A267:A268"/>
    <mergeCell ref="C267:D267"/>
    <mergeCell ref="A313:A314"/>
    <mergeCell ref="C313:D313"/>
    <mergeCell ref="A336:A337"/>
    <mergeCell ref="C336:D336"/>
    <mergeCell ref="A373:A374"/>
    <mergeCell ref="C373:D373"/>
    <mergeCell ref="A415:A416"/>
    <mergeCell ref="C415:D415"/>
  </mergeCells>
  <pageMargins left="0.7" right="0.7" top="1.3149999999999999" bottom="0.75" header="0.3" footer="0.3"/>
  <pageSetup paperSize="9" scale="71" orientation="portrait" r:id="rId1"/>
  <colBreaks count="1" manualBreakCount="1">
    <brk id="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42"/>
  <sheetViews>
    <sheetView view="pageBreakPreview" topLeftCell="A226" zoomScale="60" zoomScaleNormal="100" workbookViewId="0">
      <selection activeCell="C241" sqref="C241"/>
    </sheetView>
  </sheetViews>
  <sheetFormatPr defaultColWidth="8.90625" defaultRowHeight="15.5" x14ac:dyDescent="0.35"/>
  <cols>
    <col min="1" max="1" width="9.08984375" style="6" bestFit="1" customWidth="1"/>
    <col min="2" max="2" width="52" style="6" customWidth="1"/>
    <col min="3" max="3" width="16.81640625" style="6" customWidth="1"/>
    <col min="4" max="4" width="15.81640625" style="6" customWidth="1"/>
    <col min="5" max="5" width="15.08984375" style="6" customWidth="1"/>
    <col min="6" max="6" width="8.90625" style="6"/>
    <col min="7" max="7" width="11" style="6" bestFit="1" customWidth="1"/>
    <col min="8" max="8" width="12.54296875" style="6" bestFit="1" customWidth="1"/>
    <col min="9" max="9" width="11" style="6" bestFit="1" customWidth="1"/>
    <col min="10" max="10" width="11.81640625" style="6" customWidth="1"/>
    <col min="11" max="11" width="11" style="6" bestFit="1" customWidth="1"/>
    <col min="12" max="12" width="10" style="6" bestFit="1" customWidth="1"/>
    <col min="13" max="13" width="8.90625" style="6"/>
    <col min="14" max="14" width="12.81640625" style="6" customWidth="1"/>
    <col min="15" max="15" width="10" style="6" bestFit="1" customWidth="1"/>
    <col min="16" max="16384" width="8.90625" style="6"/>
  </cols>
  <sheetData>
    <row r="1" spans="1:11" ht="31.25" x14ac:dyDescent="0.3">
      <c r="A1" s="63" t="s">
        <v>319</v>
      </c>
      <c r="B1" s="462" t="s">
        <v>667</v>
      </c>
      <c r="C1" s="160" t="s">
        <v>320</v>
      </c>
      <c r="D1" s="161" t="s">
        <v>701</v>
      </c>
      <c r="E1" s="161" t="s">
        <v>932</v>
      </c>
      <c r="H1" s="10"/>
    </row>
    <row r="2" spans="1:11" ht="15.65" x14ac:dyDescent="0.3">
      <c r="A2" s="162">
        <v>2110100</v>
      </c>
      <c r="B2" s="163" t="s">
        <v>4</v>
      </c>
      <c r="C2" s="164">
        <f>C3</f>
        <v>15787088.119999999</v>
      </c>
      <c r="D2" s="164">
        <f t="shared" ref="D2:E2" si="0">D3</f>
        <v>16576442.526000001</v>
      </c>
      <c r="E2" s="164">
        <f t="shared" si="0"/>
        <v>17405264.6523</v>
      </c>
      <c r="G2" s="10"/>
    </row>
    <row r="3" spans="1:11" ht="15.65" x14ac:dyDescent="0.3">
      <c r="A3" s="162">
        <v>2110101</v>
      </c>
      <c r="B3" s="170" t="s">
        <v>775</v>
      </c>
      <c r="C3" s="165">
        <v>15787088.119999999</v>
      </c>
      <c r="D3" s="166">
        <f t="shared" ref="D3:D70" si="1">C3*1.05</f>
        <v>16576442.526000001</v>
      </c>
      <c r="E3" s="166">
        <f t="shared" ref="E3:E70" si="2">1.05*D3</f>
        <v>17405264.6523</v>
      </c>
      <c r="H3" s="10">
        <f>C2+C6+C10+C12</f>
        <v>23215653.519999996</v>
      </c>
      <c r="I3" s="14"/>
    </row>
    <row r="4" spans="1:11" ht="15.65" x14ac:dyDescent="0.3">
      <c r="A4" s="162">
        <v>2110201</v>
      </c>
      <c r="B4" s="162" t="s">
        <v>6</v>
      </c>
      <c r="C4" s="165">
        <v>0</v>
      </c>
      <c r="D4" s="166">
        <f t="shared" si="1"/>
        <v>0</v>
      </c>
      <c r="E4" s="166">
        <f t="shared" si="2"/>
        <v>0</v>
      </c>
      <c r="H4" s="10"/>
    </row>
    <row r="5" spans="1:11" ht="15.65" x14ac:dyDescent="0.3">
      <c r="A5" s="162">
        <v>2110202</v>
      </c>
      <c r="B5" s="162" t="s">
        <v>8</v>
      </c>
      <c r="C5" s="165">
        <v>0</v>
      </c>
      <c r="D5" s="166">
        <f t="shared" si="1"/>
        <v>0</v>
      </c>
      <c r="E5" s="166">
        <f t="shared" si="2"/>
        <v>0</v>
      </c>
      <c r="H5" s="10"/>
      <c r="I5" s="10"/>
    </row>
    <row r="6" spans="1:11" ht="15.65" x14ac:dyDescent="0.3">
      <c r="A6" s="162">
        <v>2110300</v>
      </c>
      <c r="B6" s="463" t="s">
        <v>9</v>
      </c>
      <c r="C6" s="164">
        <f>C7+C8+C9</f>
        <v>4846200</v>
      </c>
      <c r="D6" s="167">
        <f t="shared" si="1"/>
        <v>5088510</v>
      </c>
      <c r="E6" s="167">
        <f t="shared" si="2"/>
        <v>5342935.5</v>
      </c>
      <c r="K6" s="14"/>
    </row>
    <row r="7" spans="1:11" ht="15.65" x14ac:dyDescent="0.3">
      <c r="A7" s="162">
        <v>2110301</v>
      </c>
      <c r="B7" s="170" t="s">
        <v>10</v>
      </c>
      <c r="C7" s="165">
        <v>3368400</v>
      </c>
      <c r="D7" s="166">
        <f t="shared" si="1"/>
        <v>3536820</v>
      </c>
      <c r="E7" s="166">
        <f t="shared" si="2"/>
        <v>3713661</v>
      </c>
      <c r="H7" s="14"/>
    </row>
    <row r="8" spans="1:11" ht="15.65" x14ac:dyDescent="0.3">
      <c r="A8" s="162">
        <v>2110302</v>
      </c>
      <c r="B8" s="170" t="s">
        <v>702</v>
      </c>
      <c r="C8" s="165">
        <v>1312000</v>
      </c>
      <c r="D8" s="166">
        <f t="shared" si="1"/>
        <v>1377600</v>
      </c>
      <c r="E8" s="166">
        <f t="shared" si="2"/>
        <v>1446480</v>
      </c>
      <c r="G8" s="14"/>
      <c r="K8" s="14"/>
    </row>
    <row r="9" spans="1:11" ht="15.65" x14ac:dyDescent="0.3">
      <c r="A9" s="162"/>
      <c r="B9" s="170" t="s">
        <v>704</v>
      </c>
      <c r="C9" s="165">
        <v>165800</v>
      </c>
      <c r="D9" s="166">
        <f t="shared" si="1"/>
        <v>174090</v>
      </c>
      <c r="E9" s="166">
        <f t="shared" si="2"/>
        <v>182794.5</v>
      </c>
    </row>
    <row r="10" spans="1:11" ht="15.65" x14ac:dyDescent="0.3">
      <c r="A10" s="162">
        <v>2110400</v>
      </c>
      <c r="B10" s="463" t="s">
        <v>13</v>
      </c>
      <c r="C10" s="164">
        <f>C11</f>
        <v>303764</v>
      </c>
      <c r="D10" s="167">
        <f t="shared" si="1"/>
        <v>318952.2</v>
      </c>
      <c r="E10" s="167">
        <f t="shared" si="2"/>
        <v>334899.81</v>
      </c>
      <c r="H10" s="10"/>
    </row>
    <row r="11" spans="1:11" ht="15.65" x14ac:dyDescent="0.3">
      <c r="A11" s="162">
        <v>2110404</v>
      </c>
      <c r="B11" s="162" t="s">
        <v>16</v>
      </c>
      <c r="C11" s="165">
        <v>303764</v>
      </c>
      <c r="D11" s="166">
        <f t="shared" si="1"/>
        <v>318952.2</v>
      </c>
      <c r="E11" s="166">
        <f t="shared" si="2"/>
        <v>334899.81</v>
      </c>
      <c r="K11" s="10"/>
    </row>
    <row r="12" spans="1:11" ht="15.65" x14ac:dyDescent="0.3">
      <c r="A12" s="163">
        <v>2120100</v>
      </c>
      <c r="B12" s="163" t="s">
        <v>698</v>
      </c>
      <c r="C12" s="164">
        <f>C13</f>
        <v>2278601.4</v>
      </c>
      <c r="D12" s="164">
        <f t="shared" ref="D12:E12" si="3">D13</f>
        <v>2392531.4700000002</v>
      </c>
      <c r="E12" s="164">
        <f t="shared" si="3"/>
        <v>2512158.0435000001</v>
      </c>
    </row>
    <row r="13" spans="1:11" ht="15.65" x14ac:dyDescent="0.3">
      <c r="A13" s="162">
        <v>2120103</v>
      </c>
      <c r="B13" s="162" t="s">
        <v>698</v>
      </c>
      <c r="C13" s="165">
        <v>2278601.4</v>
      </c>
      <c r="D13" s="166">
        <f t="shared" si="1"/>
        <v>2392531.4700000002</v>
      </c>
      <c r="E13" s="166">
        <f t="shared" si="2"/>
        <v>2512158.0435000001</v>
      </c>
      <c r="I13" s="6" t="s">
        <v>1230</v>
      </c>
    </row>
    <row r="14" spans="1:11" ht="15.65" x14ac:dyDescent="0.3">
      <c r="A14" s="163">
        <v>2210100</v>
      </c>
      <c r="B14" s="464" t="s">
        <v>23</v>
      </c>
      <c r="C14" s="164">
        <f>C15+C16</f>
        <v>20000</v>
      </c>
      <c r="D14" s="167">
        <f t="shared" si="1"/>
        <v>21000</v>
      </c>
      <c r="E14" s="167">
        <f t="shared" si="2"/>
        <v>22050</v>
      </c>
    </row>
    <row r="15" spans="1:11" ht="15.65" x14ac:dyDescent="0.3">
      <c r="A15" s="162">
        <v>2210101</v>
      </c>
      <c r="B15" s="162" t="s">
        <v>24</v>
      </c>
      <c r="C15" s="169"/>
      <c r="D15" s="166">
        <f t="shared" si="1"/>
        <v>0</v>
      </c>
      <c r="E15" s="166">
        <f t="shared" si="2"/>
        <v>0</v>
      </c>
      <c r="H15" s="14"/>
    </row>
    <row r="16" spans="1:11" ht="15.65" x14ac:dyDescent="0.3">
      <c r="A16" s="162">
        <v>2210102</v>
      </c>
      <c r="B16" s="162" t="s">
        <v>25</v>
      </c>
      <c r="C16" s="169">
        <v>20000</v>
      </c>
      <c r="D16" s="166">
        <f t="shared" si="1"/>
        <v>21000</v>
      </c>
      <c r="E16" s="166">
        <f t="shared" si="2"/>
        <v>22050</v>
      </c>
      <c r="H16" s="14"/>
    </row>
    <row r="17" spans="1:8" ht="15.65" x14ac:dyDescent="0.3">
      <c r="A17" s="163">
        <v>2210200</v>
      </c>
      <c r="B17" s="464" t="s">
        <v>26</v>
      </c>
      <c r="C17" s="164">
        <f>C18+C19+C20</f>
        <v>47000</v>
      </c>
      <c r="D17" s="167">
        <f t="shared" si="1"/>
        <v>49350</v>
      </c>
      <c r="E17" s="167">
        <f t="shared" si="2"/>
        <v>51817.5</v>
      </c>
    </row>
    <row r="18" spans="1:8" ht="15.65" x14ac:dyDescent="0.3">
      <c r="A18" s="170">
        <v>2210201</v>
      </c>
      <c r="B18" s="170" t="s">
        <v>27</v>
      </c>
      <c r="C18" s="169">
        <v>0</v>
      </c>
      <c r="D18" s="166">
        <f t="shared" si="1"/>
        <v>0</v>
      </c>
      <c r="E18" s="166">
        <f t="shared" si="2"/>
        <v>0</v>
      </c>
    </row>
    <row r="19" spans="1:8" ht="15.65" x14ac:dyDescent="0.3">
      <c r="A19" s="170">
        <v>2210202</v>
      </c>
      <c r="B19" s="170" t="s">
        <v>28</v>
      </c>
      <c r="C19" s="169">
        <v>45000</v>
      </c>
      <c r="D19" s="166">
        <f t="shared" si="1"/>
        <v>47250</v>
      </c>
      <c r="E19" s="166">
        <f t="shared" si="2"/>
        <v>49612.5</v>
      </c>
      <c r="H19" s="14"/>
    </row>
    <row r="20" spans="1:8" ht="15.65" x14ac:dyDescent="0.3">
      <c r="A20" s="162">
        <v>2210203</v>
      </c>
      <c r="B20" s="162" t="s">
        <v>29</v>
      </c>
      <c r="C20" s="169">
        <v>2000</v>
      </c>
      <c r="D20" s="166">
        <f t="shared" si="1"/>
        <v>2100</v>
      </c>
      <c r="E20" s="166">
        <f t="shared" si="2"/>
        <v>2205</v>
      </c>
      <c r="H20" s="14"/>
    </row>
    <row r="21" spans="1:8" ht="15.65" x14ac:dyDescent="0.3">
      <c r="A21" s="163">
        <v>2210300</v>
      </c>
      <c r="B21" s="465" t="s">
        <v>30</v>
      </c>
      <c r="C21" s="164">
        <f>C22+C23+C24+C25</f>
        <v>4505385</v>
      </c>
      <c r="D21" s="167">
        <f>D22+D23+D24+D25</f>
        <v>4730654.25</v>
      </c>
      <c r="E21" s="167">
        <f>E22+E23+E24+E25</f>
        <v>4967186.9625000004</v>
      </c>
    </row>
    <row r="22" spans="1:8" ht="15.65" x14ac:dyDescent="0.3">
      <c r="A22" s="162">
        <v>2210301</v>
      </c>
      <c r="B22" s="170" t="s">
        <v>31</v>
      </c>
      <c r="C22" s="169">
        <v>204000</v>
      </c>
      <c r="D22" s="166">
        <f t="shared" si="1"/>
        <v>214200</v>
      </c>
      <c r="E22" s="166">
        <f t="shared" si="2"/>
        <v>224910</v>
      </c>
      <c r="H22" s="14"/>
    </row>
    <row r="23" spans="1:8" ht="15.65" x14ac:dyDescent="0.3">
      <c r="A23" s="170" t="s">
        <v>33</v>
      </c>
      <c r="B23" s="171" t="s">
        <v>34</v>
      </c>
      <c r="C23" s="169">
        <v>1904760</v>
      </c>
      <c r="D23" s="166">
        <f t="shared" si="1"/>
        <v>1999998</v>
      </c>
      <c r="E23" s="166">
        <f t="shared" si="2"/>
        <v>2099997.9</v>
      </c>
      <c r="H23" s="14"/>
    </row>
    <row r="24" spans="1:8" ht="15.65" x14ac:dyDescent="0.3">
      <c r="A24" s="162">
        <v>2210303</v>
      </c>
      <c r="B24" s="170" t="s">
        <v>32</v>
      </c>
      <c r="C24" s="169">
        <v>1400000</v>
      </c>
      <c r="D24" s="166">
        <f t="shared" si="1"/>
        <v>1470000</v>
      </c>
      <c r="E24" s="166">
        <f t="shared" si="2"/>
        <v>1543500</v>
      </c>
      <c r="H24" s="14"/>
    </row>
    <row r="25" spans="1:8" ht="15.65" x14ac:dyDescent="0.3">
      <c r="A25" s="170" t="s">
        <v>35</v>
      </c>
      <c r="B25" s="171" t="s">
        <v>36</v>
      </c>
      <c r="C25" s="169">
        <v>996625</v>
      </c>
      <c r="D25" s="166">
        <f t="shared" si="1"/>
        <v>1046456.25</v>
      </c>
      <c r="E25" s="166">
        <f t="shared" si="2"/>
        <v>1098779.0625</v>
      </c>
      <c r="H25" s="14"/>
    </row>
    <row r="26" spans="1:8" ht="15.65" x14ac:dyDescent="0.3">
      <c r="A26" s="162">
        <v>2210400</v>
      </c>
      <c r="B26" s="465" t="s">
        <v>37</v>
      </c>
      <c r="C26" s="164">
        <v>0</v>
      </c>
      <c r="D26" s="166">
        <f t="shared" si="1"/>
        <v>0</v>
      </c>
      <c r="E26" s="166">
        <f t="shared" si="2"/>
        <v>0</v>
      </c>
    </row>
    <row r="27" spans="1:8" ht="15.65" x14ac:dyDescent="0.3">
      <c r="A27" s="162">
        <v>2210401</v>
      </c>
      <c r="B27" s="170" t="s">
        <v>31</v>
      </c>
      <c r="C27" s="165">
        <v>0</v>
      </c>
      <c r="D27" s="166">
        <f t="shared" si="1"/>
        <v>0</v>
      </c>
      <c r="E27" s="166">
        <f t="shared" si="2"/>
        <v>0</v>
      </c>
    </row>
    <row r="28" spans="1:8" ht="15.65" x14ac:dyDescent="0.3">
      <c r="A28" s="162">
        <v>2210403</v>
      </c>
      <c r="B28" s="170" t="s">
        <v>32</v>
      </c>
      <c r="C28" s="165">
        <v>0</v>
      </c>
      <c r="D28" s="166">
        <f t="shared" si="1"/>
        <v>0</v>
      </c>
      <c r="E28" s="166">
        <f t="shared" si="2"/>
        <v>0</v>
      </c>
    </row>
    <row r="29" spans="1:8" ht="15.65" x14ac:dyDescent="0.3">
      <c r="A29" s="163">
        <v>2210500</v>
      </c>
      <c r="B29" s="465" t="s">
        <v>38</v>
      </c>
      <c r="C29" s="164">
        <f>C30+C31+C32+C33</f>
        <v>930000</v>
      </c>
      <c r="D29" s="167">
        <f>D30+D31+D32+D33</f>
        <v>976500</v>
      </c>
      <c r="E29" s="167">
        <f>E30+E31+E32+E33</f>
        <v>1025325</v>
      </c>
    </row>
    <row r="30" spans="1:8" ht="15.65" x14ac:dyDescent="0.3">
      <c r="A30" s="162">
        <v>2210502</v>
      </c>
      <c r="B30" s="466" t="s">
        <v>39</v>
      </c>
      <c r="C30" s="169">
        <v>100000</v>
      </c>
      <c r="D30" s="166">
        <f t="shared" si="1"/>
        <v>105000</v>
      </c>
      <c r="E30" s="166">
        <f t="shared" si="2"/>
        <v>110250</v>
      </c>
      <c r="H30" s="14"/>
    </row>
    <row r="31" spans="1:8" ht="15.65" x14ac:dyDescent="0.3">
      <c r="A31" s="162">
        <v>2210503</v>
      </c>
      <c r="B31" s="170" t="s">
        <v>40</v>
      </c>
      <c r="C31" s="169">
        <v>0</v>
      </c>
      <c r="D31" s="166">
        <f t="shared" si="1"/>
        <v>0</v>
      </c>
      <c r="E31" s="166">
        <f t="shared" si="2"/>
        <v>0</v>
      </c>
    </row>
    <row r="32" spans="1:8" ht="15.65" x14ac:dyDescent="0.3">
      <c r="A32" s="162">
        <v>2210504</v>
      </c>
      <c r="B32" s="170" t="s">
        <v>323</v>
      </c>
      <c r="C32" s="169">
        <v>475000</v>
      </c>
      <c r="D32" s="166">
        <f t="shared" si="1"/>
        <v>498750</v>
      </c>
      <c r="E32" s="166">
        <f t="shared" si="2"/>
        <v>523687.5</v>
      </c>
      <c r="H32" s="14"/>
    </row>
    <row r="33" spans="1:8" ht="15.65" x14ac:dyDescent="0.3">
      <c r="A33" s="162">
        <v>2210505</v>
      </c>
      <c r="B33" s="162" t="s">
        <v>41</v>
      </c>
      <c r="C33" s="169">
        <v>355000</v>
      </c>
      <c r="D33" s="166">
        <f t="shared" si="1"/>
        <v>372750</v>
      </c>
      <c r="E33" s="166">
        <f t="shared" si="2"/>
        <v>391387.5</v>
      </c>
      <c r="H33" s="14"/>
    </row>
    <row r="34" spans="1:8" ht="15.65" x14ac:dyDescent="0.3">
      <c r="A34" s="163">
        <v>2210700</v>
      </c>
      <c r="B34" s="465" t="s">
        <v>45</v>
      </c>
      <c r="C34" s="164">
        <f>C35+C36+C37</f>
        <v>755320</v>
      </c>
      <c r="D34" s="167">
        <f t="shared" si="1"/>
        <v>793086</v>
      </c>
      <c r="E34" s="167">
        <f t="shared" si="2"/>
        <v>832740.3</v>
      </c>
    </row>
    <row r="35" spans="1:8" ht="15.65" x14ac:dyDescent="0.3">
      <c r="A35" s="162">
        <v>2210710</v>
      </c>
      <c r="B35" s="170" t="s">
        <v>1158</v>
      </c>
      <c r="C35" s="169">
        <v>282100</v>
      </c>
      <c r="D35" s="166">
        <f t="shared" si="1"/>
        <v>296205</v>
      </c>
      <c r="E35" s="166">
        <f t="shared" si="2"/>
        <v>311015.25</v>
      </c>
      <c r="H35" s="14"/>
    </row>
    <row r="36" spans="1:8" ht="15.65" x14ac:dyDescent="0.3">
      <c r="A36" s="162">
        <v>2210705</v>
      </c>
      <c r="B36" s="170" t="s">
        <v>46</v>
      </c>
      <c r="C36" s="169">
        <v>0</v>
      </c>
      <c r="D36" s="166">
        <f t="shared" si="1"/>
        <v>0</v>
      </c>
      <c r="E36" s="166">
        <f t="shared" si="2"/>
        <v>0</v>
      </c>
    </row>
    <row r="37" spans="1:8" ht="15.65" x14ac:dyDescent="0.3">
      <c r="A37" s="162">
        <v>2210711</v>
      </c>
      <c r="B37" s="170" t="s">
        <v>47</v>
      </c>
      <c r="C37" s="169">
        <v>473220</v>
      </c>
      <c r="D37" s="166">
        <f t="shared" si="1"/>
        <v>496881</v>
      </c>
      <c r="E37" s="166">
        <f t="shared" si="2"/>
        <v>521725.05000000005</v>
      </c>
      <c r="H37" s="14"/>
    </row>
    <row r="38" spans="1:8" ht="15.65" x14ac:dyDescent="0.3">
      <c r="A38" s="163">
        <v>2210800</v>
      </c>
      <c r="B38" s="465" t="s">
        <v>48</v>
      </c>
      <c r="C38" s="164">
        <f>C39+C40</f>
        <v>4711019</v>
      </c>
      <c r="D38" s="167">
        <f t="shared" si="1"/>
        <v>4946569.95</v>
      </c>
      <c r="E38" s="167">
        <f t="shared" si="2"/>
        <v>5193898.4475000007</v>
      </c>
    </row>
    <row r="39" spans="1:8" ht="15.65" x14ac:dyDescent="0.3">
      <c r="A39" s="162">
        <v>2210801</v>
      </c>
      <c r="B39" s="170" t="s">
        <v>49</v>
      </c>
      <c r="C39" s="169">
        <v>731644</v>
      </c>
      <c r="D39" s="166">
        <f t="shared" si="1"/>
        <v>768226.20000000007</v>
      </c>
      <c r="E39" s="166">
        <f t="shared" si="2"/>
        <v>806637.51000000013</v>
      </c>
      <c r="H39" s="14"/>
    </row>
    <row r="40" spans="1:8" ht="15.65" x14ac:dyDescent="0.3">
      <c r="A40" s="170">
        <v>2210802</v>
      </c>
      <c r="B40" s="466" t="s">
        <v>324</v>
      </c>
      <c r="C40" s="169">
        <v>3979375</v>
      </c>
      <c r="D40" s="166">
        <f t="shared" si="1"/>
        <v>4178343.75</v>
      </c>
      <c r="E40" s="166">
        <f t="shared" si="2"/>
        <v>4387260.9375</v>
      </c>
      <c r="H40" s="14"/>
    </row>
    <row r="41" spans="1:8" ht="15.65" x14ac:dyDescent="0.3">
      <c r="A41" s="163">
        <v>2211000</v>
      </c>
      <c r="B41" s="465" t="s">
        <v>51</v>
      </c>
      <c r="C41" s="164">
        <f>SUM(C42:C45)</f>
        <v>0</v>
      </c>
      <c r="D41" s="167">
        <f t="shared" si="1"/>
        <v>0</v>
      </c>
      <c r="E41" s="167">
        <f t="shared" si="2"/>
        <v>0</v>
      </c>
    </row>
    <row r="42" spans="1:8" ht="15.65" x14ac:dyDescent="0.3">
      <c r="A42" s="162">
        <v>2211009</v>
      </c>
      <c r="B42" s="467" t="s">
        <v>52</v>
      </c>
      <c r="C42" s="169">
        <v>0</v>
      </c>
      <c r="D42" s="166">
        <f t="shared" si="1"/>
        <v>0</v>
      </c>
      <c r="E42" s="166">
        <f t="shared" si="2"/>
        <v>0</v>
      </c>
    </row>
    <row r="43" spans="1:8" ht="15.65" x14ac:dyDescent="0.3">
      <c r="A43" s="162">
        <v>2211003</v>
      </c>
      <c r="B43" s="467" t="s">
        <v>53</v>
      </c>
      <c r="C43" s="169">
        <v>0</v>
      </c>
      <c r="D43" s="166">
        <f t="shared" si="1"/>
        <v>0</v>
      </c>
      <c r="E43" s="166">
        <f t="shared" si="2"/>
        <v>0</v>
      </c>
    </row>
    <row r="44" spans="1:8" ht="15.65" x14ac:dyDescent="0.3">
      <c r="A44" s="162">
        <v>2211004</v>
      </c>
      <c r="B44" s="467" t="s">
        <v>54</v>
      </c>
      <c r="C44" s="169">
        <v>0</v>
      </c>
      <c r="D44" s="166">
        <f t="shared" si="1"/>
        <v>0</v>
      </c>
      <c r="E44" s="166">
        <f t="shared" si="2"/>
        <v>0</v>
      </c>
    </row>
    <row r="45" spans="1:8" ht="15.65" x14ac:dyDescent="0.3">
      <c r="A45" s="162">
        <v>2211016</v>
      </c>
      <c r="B45" s="466" t="s">
        <v>55</v>
      </c>
      <c r="C45" s="169">
        <v>0</v>
      </c>
      <c r="D45" s="166">
        <f t="shared" si="1"/>
        <v>0</v>
      </c>
      <c r="E45" s="166">
        <f t="shared" si="2"/>
        <v>0</v>
      </c>
    </row>
    <row r="46" spans="1:8" ht="15.65" x14ac:dyDescent="0.3">
      <c r="A46" s="163">
        <v>2211100</v>
      </c>
      <c r="B46" s="465" t="s">
        <v>56</v>
      </c>
      <c r="C46" s="164">
        <f>C47</f>
        <v>498000</v>
      </c>
      <c r="D46" s="167">
        <f t="shared" si="1"/>
        <v>522900</v>
      </c>
      <c r="E46" s="167">
        <f t="shared" si="2"/>
        <v>549045</v>
      </c>
    </row>
    <row r="47" spans="1:8" ht="15.65" x14ac:dyDescent="0.3">
      <c r="A47" s="162">
        <v>2211101</v>
      </c>
      <c r="B47" s="170" t="s">
        <v>325</v>
      </c>
      <c r="C47" s="169">
        <v>498000</v>
      </c>
      <c r="D47" s="166">
        <f>C47*1.05</f>
        <v>522900</v>
      </c>
      <c r="E47" s="166">
        <f t="shared" si="2"/>
        <v>549045</v>
      </c>
      <c r="H47" s="14"/>
    </row>
    <row r="48" spans="1:8" ht="15.65" x14ac:dyDescent="0.3">
      <c r="A48" s="162">
        <v>2211102</v>
      </c>
      <c r="B48" s="170" t="s">
        <v>58</v>
      </c>
      <c r="C48" s="169">
        <v>0</v>
      </c>
      <c r="D48" s="166">
        <f t="shared" si="1"/>
        <v>0</v>
      </c>
      <c r="E48" s="166">
        <f t="shared" si="2"/>
        <v>0</v>
      </c>
    </row>
    <row r="49" spans="1:14" ht="15.65" x14ac:dyDescent="0.3">
      <c r="A49" s="162">
        <v>2211103</v>
      </c>
      <c r="B49" s="170" t="s">
        <v>59</v>
      </c>
      <c r="C49" s="169">
        <v>0</v>
      </c>
      <c r="D49" s="166">
        <f t="shared" si="1"/>
        <v>0</v>
      </c>
      <c r="E49" s="166">
        <f t="shared" si="2"/>
        <v>0</v>
      </c>
    </row>
    <row r="50" spans="1:14" ht="15.65" x14ac:dyDescent="0.3">
      <c r="A50" s="163">
        <v>2211200</v>
      </c>
      <c r="B50" s="465" t="s">
        <v>60</v>
      </c>
      <c r="C50" s="164">
        <f>C51</f>
        <v>2352000</v>
      </c>
      <c r="D50" s="167">
        <f t="shared" si="1"/>
        <v>2469600</v>
      </c>
      <c r="E50" s="167">
        <f t="shared" si="2"/>
        <v>2593080</v>
      </c>
    </row>
    <row r="51" spans="1:14" ht="15.65" x14ac:dyDescent="0.3">
      <c r="A51" s="162">
        <v>2211201</v>
      </c>
      <c r="B51" s="170" t="s">
        <v>61</v>
      </c>
      <c r="C51" s="169">
        <v>2352000</v>
      </c>
      <c r="D51" s="166">
        <f t="shared" si="1"/>
        <v>2469600</v>
      </c>
      <c r="E51" s="166">
        <f t="shared" si="2"/>
        <v>2593080</v>
      </c>
      <c r="H51" s="14"/>
    </row>
    <row r="52" spans="1:14" ht="15.65" x14ac:dyDescent="0.3">
      <c r="A52" s="163">
        <v>2211300</v>
      </c>
      <c r="B52" s="465" t="s">
        <v>62</v>
      </c>
      <c r="C52" s="164">
        <f>SUM(C53:C57)</f>
        <v>5401106</v>
      </c>
      <c r="D52" s="167">
        <f t="shared" si="1"/>
        <v>5671161.2999999998</v>
      </c>
      <c r="E52" s="167">
        <f t="shared" si="2"/>
        <v>5954719.3650000002</v>
      </c>
    </row>
    <row r="53" spans="1:14" ht="15.65" x14ac:dyDescent="0.3">
      <c r="A53" s="162">
        <v>2211306</v>
      </c>
      <c r="B53" s="467" t="s">
        <v>65</v>
      </c>
      <c r="C53" s="169">
        <v>43900</v>
      </c>
      <c r="D53" s="166">
        <f t="shared" si="1"/>
        <v>46095</v>
      </c>
      <c r="E53" s="166">
        <f t="shared" si="2"/>
        <v>48399.75</v>
      </c>
    </row>
    <row r="54" spans="1:14" ht="15.65" x14ac:dyDescent="0.3">
      <c r="A54" s="162" t="s">
        <v>933</v>
      </c>
      <c r="B54" s="467" t="s">
        <v>66</v>
      </c>
      <c r="C54" s="169">
        <v>357206</v>
      </c>
      <c r="D54" s="166">
        <f t="shared" si="1"/>
        <v>375066.3</v>
      </c>
      <c r="E54" s="166">
        <f t="shared" si="2"/>
        <v>393819.61499999999</v>
      </c>
      <c r="H54" s="14"/>
    </row>
    <row r="55" spans="1:14" ht="15.65" x14ac:dyDescent="0.3">
      <c r="A55" s="162">
        <v>2410104</v>
      </c>
      <c r="B55" s="467" t="s">
        <v>68</v>
      </c>
      <c r="C55" s="169">
        <v>0</v>
      </c>
      <c r="D55" s="166">
        <f t="shared" si="1"/>
        <v>0</v>
      </c>
      <c r="E55" s="166">
        <f t="shared" si="2"/>
        <v>0</v>
      </c>
    </row>
    <row r="56" spans="1:14" ht="15.65" x14ac:dyDescent="0.3">
      <c r="A56" s="162">
        <v>2211308</v>
      </c>
      <c r="B56" s="467" t="s">
        <v>69</v>
      </c>
      <c r="C56" s="169">
        <v>0</v>
      </c>
      <c r="D56" s="166">
        <f t="shared" si="1"/>
        <v>0</v>
      </c>
      <c r="E56" s="166">
        <f t="shared" si="2"/>
        <v>0</v>
      </c>
    </row>
    <row r="57" spans="1:14" ht="15.65" x14ac:dyDescent="0.3">
      <c r="A57" s="162">
        <v>2211310</v>
      </c>
      <c r="B57" s="467" t="s">
        <v>70</v>
      </c>
      <c r="C57" s="781">
        <v>5000000</v>
      </c>
      <c r="D57" s="166">
        <f t="shared" si="1"/>
        <v>5250000</v>
      </c>
      <c r="E57" s="166">
        <f t="shared" si="2"/>
        <v>5512500</v>
      </c>
    </row>
    <row r="58" spans="1:14" ht="15.65" x14ac:dyDescent="0.3">
      <c r="A58" s="163">
        <v>2220100</v>
      </c>
      <c r="B58" s="465" t="s">
        <v>71</v>
      </c>
      <c r="C58" s="164">
        <f>C59</f>
        <v>791460</v>
      </c>
      <c r="D58" s="167">
        <f t="shared" si="1"/>
        <v>831033</v>
      </c>
      <c r="E58" s="167">
        <f t="shared" si="2"/>
        <v>872584.65</v>
      </c>
    </row>
    <row r="59" spans="1:14" ht="15.65" x14ac:dyDescent="0.3">
      <c r="A59" s="162">
        <v>2220101</v>
      </c>
      <c r="B59" s="467" t="s">
        <v>72</v>
      </c>
      <c r="C59" s="169">
        <v>791460</v>
      </c>
      <c r="D59" s="166">
        <f t="shared" si="1"/>
        <v>831033</v>
      </c>
      <c r="E59" s="166">
        <f t="shared" si="2"/>
        <v>872584.65</v>
      </c>
      <c r="H59" s="14"/>
    </row>
    <row r="60" spans="1:14" ht="15.65" x14ac:dyDescent="0.3">
      <c r="A60" s="163">
        <v>2220200</v>
      </c>
      <c r="B60" s="465" t="s">
        <v>73</v>
      </c>
      <c r="C60" s="164">
        <f>C61+C62+C63+C64</f>
        <v>50000</v>
      </c>
      <c r="D60" s="167">
        <f t="shared" si="1"/>
        <v>52500</v>
      </c>
      <c r="E60" s="167">
        <f t="shared" si="2"/>
        <v>55125</v>
      </c>
    </row>
    <row r="61" spans="1:14" ht="15.65" x14ac:dyDescent="0.3">
      <c r="A61" s="162">
        <v>2220201</v>
      </c>
      <c r="B61" s="467" t="s">
        <v>74</v>
      </c>
      <c r="C61" s="165">
        <v>0</v>
      </c>
      <c r="D61" s="166">
        <f t="shared" si="1"/>
        <v>0</v>
      </c>
      <c r="E61" s="166">
        <f t="shared" si="2"/>
        <v>0</v>
      </c>
      <c r="N61" s="6" t="s">
        <v>934</v>
      </c>
    </row>
    <row r="62" spans="1:14" ht="15.65" x14ac:dyDescent="0.3">
      <c r="A62" s="162">
        <v>2220202</v>
      </c>
      <c r="B62" s="467" t="s">
        <v>75</v>
      </c>
      <c r="C62" s="169">
        <v>0</v>
      </c>
      <c r="D62" s="166">
        <f t="shared" si="1"/>
        <v>0</v>
      </c>
      <c r="E62" s="166">
        <f t="shared" si="2"/>
        <v>0</v>
      </c>
    </row>
    <row r="63" spans="1:14" ht="15.65" x14ac:dyDescent="0.3">
      <c r="A63" s="162">
        <v>2220205</v>
      </c>
      <c r="B63" s="466" t="s">
        <v>76</v>
      </c>
      <c r="C63" s="169">
        <v>0</v>
      </c>
      <c r="D63" s="166">
        <f t="shared" si="1"/>
        <v>0</v>
      </c>
      <c r="E63" s="166">
        <f t="shared" si="2"/>
        <v>0</v>
      </c>
    </row>
    <row r="64" spans="1:14" ht="15.65" x14ac:dyDescent="0.3">
      <c r="A64" s="162">
        <v>2220210</v>
      </c>
      <c r="B64" s="467" t="s">
        <v>77</v>
      </c>
      <c r="C64" s="169">
        <v>50000</v>
      </c>
      <c r="D64" s="166">
        <f t="shared" si="1"/>
        <v>52500</v>
      </c>
      <c r="E64" s="166">
        <f t="shared" si="2"/>
        <v>55125</v>
      </c>
      <c r="L64" s="14"/>
    </row>
    <row r="65" spans="1:15" ht="15.65" x14ac:dyDescent="0.3">
      <c r="A65" s="163">
        <v>3111000</v>
      </c>
      <c r="B65" s="465" t="s">
        <v>82</v>
      </c>
      <c r="C65" s="164">
        <f>C66+C67+C68+C69</f>
        <v>979380</v>
      </c>
      <c r="D65" s="167">
        <f t="shared" si="1"/>
        <v>1028349</v>
      </c>
      <c r="E65" s="167">
        <f t="shared" si="2"/>
        <v>1079766.45</v>
      </c>
    </row>
    <row r="66" spans="1:15" ht="15.65" x14ac:dyDescent="0.3">
      <c r="A66" s="162">
        <v>3111001</v>
      </c>
      <c r="B66" s="467" t="s">
        <v>83</v>
      </c>
      <c r="C66" s="169">
        <v>450000</v>
      </c>
      <c r="D66" s="166">
        <f t="shared" si="1"/>
        <v>472500</v>
      </c>
      <c r="E66" s="166">
        <f t="shared" si="2"/>
        <v>496125</v>
      </c>
      <c r="H66" s="14"/>
    </row>
    <row r="67" spans="1:15" ht="15.65" x14ac:dyDescent="0.3">
      <c r="A67" s="162">
        <v>3111002</v>
      </c>
      <c r="B67" s="467" t="s">
        <v>84</v>
      </c>
      <c r="C67" s="169">
        <v>529380</v>
      </c>
      <c r="D67" s="166">
        <f t="shared" si="1"/>
        <v>555849</v>
      </c>
      <c r="E67" s="166">
        <f t="shared" si="2"/>
        <v>583641.45000000007</v>
      </c>
      <c r="H67" s="14"/>
      <c r="L67" s="10"/>
      <c r="N67" s="10"/>
    </row>
    <row r="68" spans="1:15" ht="15.65" x14ac:dyDescent="0.3">
      <c r="A68" s="162">
        <v>3111003</v>
      </c>
      <c r="B68" s="467" t="s">
        <v>326</v>
      </c>
      <c r="C68" s="169">
        <v>0</v>
      </c>
      <c r="D68" s="166">
        <f t="shared" si="1"/>
        <v>0</v>
      </c>
      <c r="E68" s="166">
        <f t="shared" si="2"/>
        <v>0</v>
      </c>
    </row>
    <row r="69" spans="1:15" ht="15.65" x14ac:dyDescent="0.3">
      <c r="A69" s="172">
        <v>2410104</v>
      </c>
      <c r="B69" s="467" t="s">
        <v>935</v>
      </c>
      <c r="C69" s="192">
        <v>0</v>
      </c>
      <c r="D69" s="166">
        <f t="shared" si="1"/>
        <v>0</v>
      </c>
      <c r="E69" s="166">
        <f t="shared" si="2"/>
        <v>0</v>
      </c>
    </row>
    <row r="70" spans="1:15" ht="15.65" x14ac:dyDescent="0.3">
      <c r="A70" s="163">
        <v>3111403</v>
      </c>
      <c r="B70" s="468" t="s">
        <v>327</v>
      </c>
      <c r="C70" s="164">
        <v>0</v>
      </c>
      <c r="D70" s="167">
        <f t="shared" si="1"/>
        <v>0</v>
      </c>
      <c r="E70" s="167">
        <f t="shared" si="2"/>
        <v>0</v>
      </c>
      <c r="L70" s="14"/>
    </row>
    <row r="71" spans="1:15" ht="15.65" x14ac:dyDescent="0.3">
      <c r="A71" s="848" t="s">
        <v>87</v>
      </c>
      <c r="B71" s="849"/>
      <c r="C71" s="164">
        <f>C2+C6+C10+C12+C14+C17+C21+C29+C34+C38+C46+C50+C52+C58+C60+C65</f>
        <v>44256323.519999996</v>
      </c>
      <c r="D71" s="164">
        <f>D2+D6+D10+D12+D14+D17+D21+D26+D29+D34+D38+D41+D46+D50+D52+D58+D60+D65</f>
        <v>46469139.695999995</v>
      </c>
      <c r="E71" s="164">
        <f>E2+E6+E10+E12+E14+E17+E21+E26+E29+E34+E38+E41+E46+E50+E52+E58+E60+E65</f>
        <v>48792596.680800006</v>
      </c>
      <c r="H71" s="9"/>
      <c r="J71" s="10"/>
      <c r="L71" s="14"/>
      <c r="O71" s="10"/>
    </row>
    <row r="72" spans="1:15" ht="15.65" x14ac:dyDescent="0.3">
      <c r="A72" s="162"/>
      <c r="B72" s="468"/>
      <c r="C72" s="164"/>
      <c r="D72" s="167"/>
      <c r="E72" s="167"/>
      <c r="L72" s="14"/>
    </row>
    <row r="73" spans="1:15" ht="15.65" x14ac:dyDescent="0.3">
      <c r="A73" s="848" t="s">
        <v>936</v>
      </c>
      <c r="B73" s="849"/>
      <c r="C73" s="165"/>
      <c r="D73" s="166"/>
      <c r="E73" s="166"/>
      <c r="L73" s="14"/>
    </row>
    <row r="74" spans="1:15" ht="15.65" x14ac:dyDescent="0.3">
      <c r="A74" s="162">
        <v>2640503</v>
      </c>
      <c r="B74" s="467" t="s">
        <v>705</v>
      </c>
      <c r="C74" s="662">
        <v>30000000</v>
      </c>
      <c r="D74" s="166">
        <f>C74*1.05</f>
        <v>31500000</v>
      </c>
      <c r="E74" s="166">
        <f>D74*1.05</f>
        <v>33075000</v>
      </c>
      <c r="L74" s="14"/>
      <c r="M74" s="14"/>
    </row>
    <row r="75" spans="1:15" ht="15.65" x14ac:dyDescent="0.3">
      <c r="A75" s="162">
        <v>3111504</v>
      </c>
      <c r="B75" s="467" t="s">
        <v>328</v>
      </c>
      <c r="C75" s="194">
        <f>50000000-2500000</f>
        <v>47500000</v>
      </c>
      <c r="D75" s="166">
        <f t="shared" ref="D75:E80" si="4">C75*1.05</f>
        <v>49875000</v>
      </c>
      <c r="E75" s="166">
        <f t="shared" si="4"/>
        <v>52368750</v>
      </c>
      <c r="L75" s="14"/>
    </row>
    <row r="76" spans="1:15" ht="15.65" x14ac:dyDescent="0.3">
      <c r="A76" s="162">
        <v>3110699</v>
      </c>
      <c r="B76" s="467" t="s">
        <v>329</v>
      </c>
      <c r="C76" s="165">
        <v>0</v>
      </c>
      <c r="D76" s="166">
        <f t="shared" si="4"/>
        <v>0</v>
      </c>
      <c r="E76" s="166">
        <f t="shared" si="4"/>
        <v>0</v>
      </c>
      <c r="H76" s="14"/>
      <c r="M76" s="14"/>
    </row>
    <row r="77" spans="1:15" ht="15.65" x14ac:dyDescent="0.3">
      <c r="A77" s="162">
        <v>3110599</v>
      </c>
      <c r="B77" s="467" t="s">
        <v>328</v>
      </c>
      <c r="C77" s="165">
        <v>0</v>
      </c>
      <c r="D77" s="166">
        <f t="shared" si="4"/>
        <v>0</v>
      </c>
      <c r="E77" s="166">
        <f t="shared" si="4"/>
        <v>0</v>
      </c>
      <c r="I77" s="10"/>
    </row>
    <row r="78" spans="1:15" ht="15.65" x14ac:dyDescent="0.3">
      <c r="A78" s="162">
        <v>2410104</v>
      </c>
      <c r="B78" s="467" t="s">
        <v>781</v>
      </c>
      <c r="C78" s="165">
        <v>0</v>
      </c>
      <c r="D78" s="166">
        <f t="shared" si="4"/>
        <v>0</v>
      </c>
      <c r="E78" s="166">
        <f t="shared" si="4"/>
        <v>0</v>
      </c>
    </row>
    <row r="79" spans="1:15" ht="15.65" x14ac:dyDescent="0.3">
      <c r="A79" s="172">
        <v>2410104</v>
      </c>
      <c r="B79" s="467" t="s">
        <v>706</v>
      </c>
      <c r="C79" s="194">
        <f>27834101/2</f>
        <v>13917050.5</v>
      </c>
      <c r="D79" s="166">
        <f t="shared" si="4"/>
        <v>14612903.025</v>
      </c>
      <c r="E79" s="166">
        <f t="shared" si="4"/>
        <v>15343548.176250001</v>
      </c>
    </row>
    <row r="80" spans="1:15" ht="15.65" x14ac:dyDescent="0.3">
      <c r="A80" s="846" t="s">
        <v>95</v>
      </c>
      <c r="B80" s="847"/>
      <c r="C80" s="164">
        <f>SUM(C74:C79)</f>
        <v>91417050.5</v>
      </c>
      <c r="D80" s="174">
        <f t="shared" si="4"/>
        <v>95987903.025000006</v>
      </c>
      <c r="E80" s="174">
        <f t="shared" si="4"/>
        <v>100787298.17625001</v>
      </c>
    </row>
    <row r="81" spans="1:9" ht="15.65" x14ac:dyDescent="0.3">
      <c r="A81" s="846" t="s">
        <v>96</v>
      </c>
      <c r="B81" s="847"/>
      <c r="C81" s="175">
        <f>C71+C80</f>
        <v>135673374.01999998</v>
      </c>
      <c r="D81" s="175">
        <f>D71+D80</f>
        <v>142457042.72100002</v>
      </c>
      <c r="E81" s="175">
        <f>E71+E80</f>
        <v>149579894.85705</v>
      </c>
    </row>
    <row r="82" spans="1:9" ht="15.65" x14ac:dyDescent="0.3">
      <c r="A82" s="176"/>
      <c r="B82" s="469"/>
      <c r="C82" s="177"/>
      <c r="D82" s="177"/>
      <c r="E82" s="177"/>
    </row>
    <row r="83" spans="1:9" ht="31.25" x14ac:dyDescent="0.3">
      <c r="A83" s="63" t="s">
        <v>319</v>
      </c>
      <c r="B83" s="462" t="s">
        <v>707</v>
      </c>
      <c r="C83" s="160" t="s">
        <v>320</v>
      </c>
      <c r="D83" s="161" t="s">
        <v>701</v>
      </c>
      <c r="E83" s="161" t="s">
        <v>932</v>
      </c>
    </row>
    <row r="84" spans="1:9" ht="15.65" x14ac:dyDescent="0.3">
      <c r="A84" s="162">
        <v>2110100</v>
      </c>
      <c r="B84" s="163" t="s">
        <v>708</v>
      </c>
      <c r="C84" s="178">
        <f>C85</f>
        <v>3533936</v>
      </c>
      <c r="D84" s="178">
        <f t="shared" ref="D84:E84" si="5">D85</f>
        <v>3710632.8000000003</v>
      </c>
      <c r="E84" s="178">
        <f t="shared" si="5"/>
        <v>3896164.4400000004</v>
      </c>
      <c r="G84" s="10"/>
    </row>
    <row r="85" spans="1:9" ht="15.65" x14ac:dyDescent="0.3">
      <c r="A85" s="162">
        <v>2110101</v>
      </c>
      <c r="B85" s="170" t="s">
        <v>708</v>
      </c>
      <c r="C85" s="165">
        <v>3533936</v>
      </c>
      <c r="D85" s="166">
        <f t="shared" ref="D85:D151" si="6">C85*1.05</f>
        <v>3710632.8000000003</v>
      </c>
      <c r="E85" s="166">
        <f t="shared" ref="E85:E151" si="7">1.05*D85</f>
        <v>3896164.4400000004</v>
      </c>
    </row>
    <row r="86" spans="1:9" ht="15.65" x14ac:dyDescent="0.3">
      <c r="A86" s="162">
        <v>2110200</v>
      </c>
      <c r="B86" s="163" t="s">
        <v>4</v>
      </c>
      <c r="C86" s="164">
        <v>0</v>
      </c>
      <c r="D86" s="166">
        <f t="shared" si="6"/>
        <v>0</v>
      </c>
      <c r="E86" s="166">
        <f t="shared" si="7"/>
        <v>0</v>
      </c>
      <c r="I86" s="10"/>
    </row>
    <row r="87" spans="1:9" ht="15.65" x14ac:dyDescent="0.3">
      <c r="A87" s="162">
        <v>2110201</v>
      </c>
      <c r="B87" s="162" t="s">
        <v>6</v>
      </c>
      <c r="C87" s="165">
        <v>0</v>
      </c>
      <c r="D87" s="166">
        <f t="shared" si="6"/>
        <v>0</v>
      </c>
      <c r="E87" s="166">
        <f t="shared" si="7"/>
        <v>0</v>
      </c>
      <c r="H87" s="10"/>
    </row>
    <row r="88" spans="1:9" ht="15.65" x14ac:dyDescent="0.3">
      <c r="A88" s="162">
        <v>2110202</v>
      </c>
      <c r="B88" s="162" t="s">
        <v>8</v>
      </c>
      <c r="C88" s="165">
        <v>0</v>
      </c>
      <c r="D88" s="166">
        <f t="shared" si="6"/>
        <v>0</v>
      </c>
      <c r="E88" s="166">
        <f t="shared" si="7"/>
        <v>0</v>
      </c>
      <c r="H88" s="10"/>
    </row>
    <row r="89" spans="1:9" ht="15.65" x14ac:dyDescent="0.3">
      <c r="A89" s="162">
        <v>2110300</v>
      </c>
      <c r="B89" s="463" t="s">
        <v>9</v>
      </c>
      <c r="C89" s="164">
        <f>C90+C91+C92</f>
        <v>1164600</v>
      </c>
      <c r="D89" s="166">
        <f t="shared" si="6"/>
        <v>1222830</v>
      </c>
      <c r="E89" s="166">
        <f t="shared" si="7"/>
        <v>1283971.5</v>
      </c>
      <c r="H89" s="10"/>
    </row>
    <row r="90" spans="1:9" ht="15.65" x14ac:dyDescent="0.3">
      <c r="A90" s="162">
        <v>2110301</v>
      </c>
      <c r="B90" s="170" t="s">
        <v>10</v>
      </c>
      <c r="C90" s="165">
        <v>924600</v>
      </c>
      <c r="D90" s="166">
        <f t="shared" si="6"/>
        <v>970830</v>
      </c>
      <c r="E90" s="166">
        <f t="shared" si="7"/>
        <v>1019371.5</v>
      </c>
    </row>
    <row r="91" spans="1:9" ht="15.65" x14ac:dyDescent="0.3">
      <c r="A91" s="162">
        <v>2110302</v>
      </c>
      <c r="B91" s="170" t="s">
        <v>702</v>
      </c>
      <c r="C91" s="165">
        <v>228000</v>
      </c>
      <c r="D91" s="166">
        <f t="shared" si="6"/>
        <v>239400</v>
      </c>
      <c r="E91" s="166">
        <f t="shared" si="7"/>
        <v>251370</v>
      </c>
    </row>
    <row r="92" spans="1:9" ht="15.65" x14ac:dyDescent="0.3">
      <c r="A92" s="162"/>
      <c r="B92" s="170" t="s">
        <v>703</v>
      </c>
      <c r="C92" s="165">
        <v>12000</v>
      </c>
      <c r="D92" s="166">
        <f t="shared" si="6"/>
        <v>12600</v>
      </c>
      <c r="E92" s="166">
        <f t="shared" si="7"/>
        <v>13230</v>
      </c>
    </row>
    <row r="93" spans="1:9" ht="15.65" x14ac:dyDescent="0.3">
      <c r="A93" s="162">
        <v>2110400</v>
      </c>
      <c r="B93" s="463" t="s">
        <v>13</v>
      </c>
      <c r="C93" s="164">
        <f>C94</f>
        <v>120159</v>
      </c>
      <c r="D93" s="166">
        <f t="shared" si="6"/>
        <v>126166.95000000001</v>
      </c>
      <c r="E93" s="166">
        <f t="shared" si="7"/>
        <v>132475.29750000002</v>
      </c>
    </row>
    <row r="94" spans="1:9" ht="15.65" x14ac:dyDescent="0.3">
      <c r="A94" s="162">
        <v>2110404</v>
      </c>
      <c r="B94" s="162" t="s">
        <v>16</v>
      </c>
      <c r="C94" s="165">
        <v>120159</v>
      </c>
      <c r="D94" s="167">
        <f t="shared" si="6"/>
        <v>126166.95000000001</v>
      </c>
      <c r="E94" s="166">
        <f t="shared" si="7"/>
        <v>132475.29750000002</v>
      </c>
    </row>
    <row r="95" spans="1:9" ht="15.65" x14ac:dyDescent="0.3">
      <c r="A95" s="162"/>
      <c r="B95" s="162"/>
      <c r="C95" s="165"/>
      <c r="D95" s="167"/>
      <c r="E95" s="166"/>
    </row>
    <row r="96" spans="1:9" ht="15.65" x14ac:dyDescent="0.3">
      <c r="A96" s="163">
        <v>2120100</v>
      </c>
      <c r="B96" s="163" t="s">
        <v>698</v>
      </c>
      <c r="C96" s="164">
        <f>C97</f>
        <v>502341.36</v>
      </c>
      <c r="D96" s="167">
        <f t="shared" si="6"/>
        <v>527458.42799999996</v>
      </c>
      <c r="E96" s="167">
        <f t="shared" si="7"/>
        <v>553831.34939999995</v>
      </c>
    </row>
    <row r="97" spans="1:5" ht="15.65" x14ac:dyDescent="0.3">
      <c r="A97" s="162">
        <v>2120103</v>
      </c>
      <c r="B97" s="162" t="s">
        <v>698</v>
      </c>
      <c r="C97" s="165">
        <v>502341.36</v>
      </c>
      <c r="D97" s="167">
        <f t="shared" si="6"/>
        <v>527458.42799999996</v>
      </c>
      <c r="E97" s="166">
        <f t="shared" si="7"/>
        <v>553831.34939999995</v>
      </c>
    </row>
    <row r="98" spans="1:5" ht="15.65" x14ac:dyDescent="0.3">
      <c r="A98" s="163">
        <v>2210100</v>
      </c>
      <c r="B98" s="464" t="s">
        <v>23</v>
      </c>
      <c r="C98" s="164">
        <f>C99+C100</f>
        <v>3022814</v>
      </c>
      <c r="D98" s="167">
        <f t="shared" si="6"/>
        <v>3173954.7</v>
      </c>
      <c r="E98" s="167">
        <f t="shared" si="7"/>
        <v>3332652.4350000005</v>
      </c>
    </row>
    <row r="99" spans="1:5" ht="15.65" x14ac:dyDescent="0.3">
      <c r="A99" s="162">
        <v>2210101</v>
      </c>
      <c r="B99" s="162" t="s">
        <v>24</v>
      </c>
      <c r="C99" s="179">
        <v>3002814</v>
      </c>
      <c r="D99" s="166">
        <f t="shared" si="6"/>
        <v>3152954.7</v>
      </c>
      <c r="E99" s="166">
        <f t="shared" si="7"/>
        <v>3310602.4350000005</v>
      </c>
    </row>
    <row r="100" spans="1:5" ht="15.65" x14ac:dyDescent="0.3">
      <c r="A100" s="162">
        <v>2210102</v>
      </c>
      <c r="B100" s="162" t="s">
        <v>25</v>
      </c>
      <c r="C100" s="169">
        <v>20000</v>
      </c>
      <c r="D100" s="166">
        <f t="shared" si="6"/>
        <v>21000</v>
      </c>
      <c r="E100" s="166">
        <f t="shared" si="7"/>
        <v>22050</v>
      </c>
    </row>
    <row r="101" spans="1:5" ht="15.65" x14ac:dyDescent="0.3">
      <c r="A101" s="163">
        <v>2210200</v>
      </c>
      <c r="B101" s="464" t="s">
        <v>26</v>
      </c>
      <c r="C101" s="164">
        <f>C102+C103+C104</f>
        <v>24500</v>
      </c>
      <c r="D101" s="167">
        <f t="shared" si="6"/>
        <v>25725</v>
      </c>
      <c r="E101" s="167">
        <f t="shared" si="7"/>
        <v>27011.25</v>
      </c>
    </row>
    <row r="102" spans="1:5" ht="15.65" x14ac:dyDescent="0.3">
      <c r="A102" s="170">
        <v>2210201</v>
      </c>
      <c r="B102" s="170" t="s">
        <v>27</v>
      </c>
      <c r="C102" s="169">
        <v>0</v>
      </c>
      <c r="D102" s="166">
        <f t="shared" si="6"/>
        <v>0</v>
      </c>
      <c r="E102" s="166">
        <f t="shared" si="7"/>
        <v>0</v>
      </c>
    </row>
    <row r="103" spans="1:5" ht="15.65" x14ac:dyDescent="0.3">
      <c r="A103" s="170">
        <v>2210202</v>
      </c>
      <c r="B103" s="170" t="s">
        <v>28</v>
      </c>
      <c r="C103" s="169">
        <v>22500</v>
      </c>
      <c r="D103" s="166">
        <f t="shared" si="6"/>
        <v>23625</v>
      </c>
      <c r="E103" s="166">
        <f t="shared" si="7"/>
        <v>24806.25</v>
      </c>
    </row>
    <row r="104" spans="1:5" ht="15.65" x14ac:dyDescent="0.3">
      <c r="A104" s="162">
        <v>2210203</v>
      </c>
      <c r="B104" s="162" t="s">
        <v>29</v>
      </c>
      <c r="C104" s="169">
        <v>2000</v>
      </c>
      <c r="D104" s="166">
        <f t="shared" si="6"/>
        <v>2100</v>
      </c>
      <c r="E104" s="166">
        <f t="shared" si="7"/>
        <v>2205</v>
      </c>
    </row>
    <row r="105" spans="1:5" ht="15.65" x14ac:dyDescent="0.3">
      <c r="A105" s="163">
        <v>2210300</v>
      </c>
      <c r="B105" s="465" t="s">
        <v>30</v>
      </c>
      <c r="C105" s="164">
        <f>C106+C107+C108+C109</f>
        <v>3029460</v>
      </c>
      <c r="D105" s="167">
        <f>D106+D107+D108+D109</f>
        <v>3180933</v>
      </c>
      <c r="E105" s="167">
        <f>E106+E107+E108+E109</f>
        <v>3339979.65</v>
      </c>
    </row>
    <row r="106" spans="1:5" ht="15.65" x14ac:dyDescent="0.3">
      <c r="A106" s="162">
        <v>2210301</v>
      </c>
      <c r="B106" s="170" t="s">
        <v>31</v>
      </c>
      <c r="C106" s="169">
        <v>140000</v>
      </c>
      <c r="D106" s="166">
        <f t="shared" si="6"/>
        <v>147000</v>
      </c>
      <c r="E106" s="166">
        <f t="shared" si="7"/>
        <v>154350</v>
      </c>
    </row>
    <row r="107" spans="1:5" ht="15.65" x14ac:dyDescent="0.3">
      <c r="A107" s="170" t="s">
        <v>33</v>
      </c>
      <c r="B107" s="171" t="s">
        <v>34</v>
      </c>
      <c r="C107" s="169">
        <v>666400</v>
      </c>
      <c r="D107" s="166">
        <f t="shared" si="6"/>
        <v>699720</v>
      </c>
      <c r="E107" s="166">
        <f t="shared" si="7"/>
        <v>734706</v>
      </c>
    </row>
    <row r="108" spans="1:5" ht="15.65" x14ac:dyDescent="0.3">
      <c r="A108" s="162">
        <v>2210303</v>
      </c>
      <c r="B108" s="170" t="s">
        <v>32</v>
      </c>
      <c r="C108" s="169">
        <v>1491000</v>
      </c>
      <c r="D108" s="166">
        <f t="shared" si="6"/>
        <v>1565550</v>
      </c>
      <c r="E108" s="166">
        <f t="shared" si="7"/>
        <v>1643827.5</v>
      </c>
    </row>
    <row r="109" spans="1:5" ht="15.65" x14ac:dyDescent="0.3">
      <c r="A109" s="170" t="s">
        <v>35</v>
      </c>
      <c r="B109" s="171" t="s">
        <v>36</v>
      </c>
      <c r="C109" s="169">
        <v>732060</v>
      </c>
      <c r="D109" s="166">
        <f t="shared" si="6"/>
        <v>768663</v>
      </c>
      <c r="E109" s="166">
        <f t="shared" si="7"/>
        <v>807096.15</v>
      </c>
    </row>
    <row r="110" spans="1:5" ht="15.65" x14ac:dyDescent="0.3">
      <c r="A110" s="162">
        <v>2210400</v>
      </c>
      <c r="B110" s="465" t="s">
        <v>37</v>
      </c>
      <c r="C110" s="164">
        <v>0</v>
      </c>
      <c r="D110" s="166">
        <f t="shared" si="6"/>
        <v>0</v>
      </c>
      <c r="E110" s="166">
        <f t="shared" si="7"/>
        <v>0</v>
      </c>
    </row>
    <row r="111" spans="1:5" ht="15.65" x14ac:dyDescent="0.3">
      <c r="A111" s="162">
        <v>2210401</v>
      </c>
      <c r="B111" s="170" t="s">
        <v>31</v>
      </c>
      <c r="C111" s="165">
        <v>0</v>
      </c>
      <c r="D111" s="166">
        <f t="shared" si="6"/>
        <v>0</v>
      </c>
      <c r="E111" s="166">
        <f t="shared" si="7"/>
        <v>0</v>
      </c>
    </row>
    <row r="112" spans="1:5" ht="15.65" x14ac:dyDescent="0.3">
      <c r="A112" s="162">
        <v>2210403</v>
      </c>
      <c r="B112" s="170" t="s">
        <v>32</v>
      </c>
      <c r="C112" s="165">
        <v>0</v>
      </c>
      <c r="D112" s="166">
        <f t="shared" si="6"/>
        <v>0</v>
      </c>
      <c r="E112" s="166">
        <f t="shared" si="7"/>
        <v>0</v>
      </c>
    </row>
    <row r="113" spans="1:5" ht="15.65" x14ac:dyDescent="0.3">
      <c r="A113" s="163">
        <v>2210500</v>
      </c>
      <c r="B113" s="465" t="s">
        <v>38</v>
      </c>
      <c r="C113" s="164">
        <f>C114+C115+C116+C117</f>
        <v>50000</v>
      </c>
      <c r="D113" s="167">
        <f>D114+D115+D116+D117</f>
        <v>52500</v>
      </c>
      <c r="E113" s="167">
        <f>E114+E115+E116+E117</f>
        <v>55125</v>
      </c>
    </row>
    <row r="114" spans="1:5" ht="15.65" x14ac:dyDescent="0.3">
      <c r="A114" s="162">
        <v>2210502</v>
      </c>
      <c r="B114" s="466" t="s">
        <v>39</v>
      </c>
      <c r="C114" s="169">
        <v>50000</v>
      </c>
      <c r="D114" s="166">
        <f t="shared" si="6"/>
        <v>52500</v>
      </c>
      <c r="E114" s="166">
        <f t="shared" si="7"/>
        <v>55125</v>
      </c>
    </row>
    <row r="115" spans="1:5" ht="15.65" x14ac:dyDescent="0.3">
      <c r="A115" s="162">
        <v>2210503</v>
      </c>
      <c r="B115" s="170" t="s">
        <v>40</v>
      </c>
      <c r="C115" s="169">
        <v>0</v>
      </c>
      <c r="D115" s="166">
        <f t="shared" si="6"/>
        <v>0</v>
      </c>
      <c r="E115" s="166">
        <f t="shared" si="7"/>
        <v>0</v>
      </c>
    </row>
    <row r="116" spans="1:5" ht="15.65" x14ac:dyDescent="0.3">
      <c r="A116" s="162">
        <v>2210504</v>
      </c>
      <c r="B116" s="170" t="s">
        <v>323</v>
      </c>
      <c r="C116" s="169">
        <v>0</v>
      </c>
      <c r="D116" s="166">
        <f t="shared" si="6"/>
        <v>0</v>
      </c>
      <c r="E116" s="166">
        <f t="shared" si="7"/>
        <v>0</v>
      </c>
    </row>
    <row r="117" spans="1:5" ht="15.65" x14ac:dyDescent="0.3">
      <c r="A117" s="162">
        <v>2210505</v>
      </c>
      <c r="B117" s="162" t="s">
        <v>41</v>
      </c>
      <c r="C117" s="169">
        <v>0</v>
      </c>
      <c r="D117" s="166">
        <f t="shared" si="6"/>
        <v>0</v>
      </c>
      <c r="E117" s="166">
        <f t="shared" si="7"/>
        <v>0</v>
      </c>
    </row>
    <row r="118" spans="1:5" ht="15.65" x14ac:dyDescent="0.3">
      <c r="A118" s="163">
        <v>2210700</v>
      </c>
      <c r="B118" s="465" t="s">
        <v>45</v>
      </c>
      <c r="C118" s="164">
        <f>C119+C120+C121</f>
        <v>0</v>
      </c>
      <c r="D118" s="167">
        <f t="shared" si="6"/>
        <v>0</v>
      </c>
      <c r="E118" s="167">
        <f t="shared" si="7"/>
        <v>0</v>
      </c>
    </row>
    <row r="119" spans="1:5" ht="15.65" x14ac:dyDescent="0.3">
      <c r="A119" s="162">
        <v>2210710</v>
      </c>
      <c r="B119" s="170" t="s">
        <v>1158</v>
      </c>
      <c r="C119" s="169">
        <v>0</v>
      </c>
      <c r="D119" s="166">
        <f t="shared" si="6"/>
        <v>0</v>
      </c>
      <c r="E119" s="166">
        <f t="shared" si="7"/>
        <v>0</v>
      </c>
    </row>
    <row r="120" spans="1:5" ht="15.65" x14ac:dyDescent="0.3">
      <c r="A120" s="162">
        <v>2210705</v>
      </c>
      <c r="B120" s="170" t="s">
        <v>46</v>
      </c>
      <c r="C120" s="169">
        <v>0</v>
      </c>
      <c r="D120" s="166">
        <f t="shared" si="6"/>
        <v>0</v>
      </c>
      <c r="E120" s="166">
        <f t="shared" si="7"/>
        <v>0</v>
      </c>
    </row>
    <row r="121" spans="1:5" ht="15.65" x14ac:dyDescent="0.3">
      <c r="A121" s="162">
        <v>2210711</v>
      </c>
      <c r="B121" s="170" t="s">
        <v>47</v>
      </c>
      <c r="C121" s="169">
        <v>0</v>
      </c>
      <c r="D121" s="166">
        <f t="shared" si="6"/>
        <v>0</v>
      </c>
      <c r="E121" s="166">
        <f t="shared" si="7"/>
        <v>0</v>
      </c>
    </row>
    <row r="122" spans="1:5" ht="15.65" x14ac:dyDescent="0.3">
      <c r="A122" s="163">
        <v>2210800</v>
      </c>
      <c r="B122" s="465" t="s">
        <v>48</v>
      </c>
      <c r="C122" s="164">
        <f>C123+C124</f>
        <v>1158200</v>
      </c>
      <c r="D122" s="167">
        <f>C122*1.05</f>
        <v>1216110</v>
      </c>
      <c r="E122" s="167">
        <f t="shared" si="7"/>
        <v>1276915.5</v>
      </c>
    </row>
    <row r="123" spans="1:5" ht="15.65" x14ac:dyDescent="0.3">
      <c r="A123" s="162">
        <v>2210801</v>
      </c>
      <c r="B123" s="170" t="s">
        <v>49</v>
      </c>
      <c r="C123" s="169">
        <v>367200</v>
      </c>
      <c r="D123" s="166">
        <f t="shared" si="6"/>
        <v>385560</v>
      </c>
      <c r="E123" s="166">
        <f t="shared" si="7"/>
        <v>404838</v>
      </c>
    </row>
    <row r="124" spans="1:5" ht="15.65" x14ac:dyDescent="0.3">
      <c r="A124" s="170">
        <v>2210802</v>
      </c>
      <c r="B124" s="466" t="s">
        <v>324</v>
      </c>
      <c r="C124" s="169">
        <v>791000</v>
      </c>
      <c r="D124" s="166">
        <f t="shared" si="6"/>
        <v>830550</v>
      </c>
      <c r="E124" s="166">
        <f t="shared" si="7"/>
        <v>872077.5</v>
      </c>
    </row>
    <row r="125" spans="1:5" ht="15.65" x14ac:dyDescent="0.3">
      <c r="A125" s="163">
        <v>2211000</v>
      </c>
      <c r="B125" s="465" t="s">
        <v>51</v>
      </c>
      <c r="C125" s="164">
        <f>SUM(C126:C129)</f>
        <v>0</v>
      </c>
      <c r="D125" s="167">
        <f t="shared" si="6"/>
        <v>0</v>
      </c>
      <c r="E125" s="167">
        <f t="shared" si="7"/>
        <v>0</v>
      </c>
    </row>
    <row r="126" spans="1:5" ht="15.65" x14ac:dyDescent="0.3">
      <c r="A126" s="162">
        <v>2211009</v>
      </c>
      <c r="B126" s="467" t="s">
        <v>52</v>
      </c>
      <c r="C126" s="169">
        <v>0</v>
      </c>
      <c r="D126" s="166">
        <f t="shared" si="6"/>
        <v>0</v>
      </c>
      <c r="E126" s="166">
        <f t="shared" si="7"/>
        <v>0</v>
      </c>
    </row>
    <row r="127" spans="1:5" ht="15.65" x14ac:dyDescent="0.3">
      <c r="A127" s="162">
        <v>2211003</v>
      </c>
      <c r="B127" s="467" t="s">
        <v>53</v>
      </c>
      <c r="C127" s="169">
        <v>0</v>
      </c>
      <c r="D127" s="166">
        <f t="shared" si="6"/>
        <v>0</v>
      </c>
      <c r="E127" s="166">
        <f t="shared" si="7"/>
        <v>0</v>
      </c>
    </row>
    <row r="128" spans="1:5" ht="15.65" x14ac:dyDescent="0.3">
      <c r="A128" s="162">
        <v>2211004</v>
      </c>
      <c r="B128" s="467" t="s">
        <v>54</v>
      </c>
      <c r="C128" s="169">
        <v>0</v>
      </c>
      <c r="D128" s="166">
        <f t="shared" si="6"/>
        <v>0</v>
      </c>
      <c r="E128" s="166">
        <f t="shared" si="7"/>
        <v>0</v>
      </c>
    </row>
    <row r="129" spans="1:5" ht="15.65" x14ac:dyDescent="0.3">
      <c r="A129" s="162">
        <v>2211016</v>
      </c>
      <c r="B129" s="466" t="s">
        <v>55</v>
      </c>
      <c r="C129" s="169">
        <v>0</v>
      </c>
      <c r="D129" s="166">
        <f t="shared" si="6"/>
        <v>0</v>
      </c>
      <c r="E129" s="166">
        <f t="shared" si="7"/>
        <v>0</v>
      </c>
    </row>
    <row r="130" spans="1:5" ht="15.65" x14ac:dyDescent="0.3">
      <c r="A130" s="163">
        <v>2211100</v>
      </c>
      <c r="B130" s="465" t="s">
        <v>56</v>
      </c>
      <c r="C130" s="164">
        <f>C131+C132+C133</f>
        <v>0</v>
      </c>
      <c r="D130" s="167">
        <f t="shared" si="6"/>
        <v>0</v>
      </c>
      <c r="E130" s="167">
        <f t="shared" si="7"/>
        <v>0</v>
      </c>
    </row>
    <row r="131" spans="1:5" ht="15.65" x14ac:dyDescent="0.3">
      <c r="A131" s="162">
        <v>2211101</v>
      </c>
      <c r="B131" s="170" t="s">
        <v>325</v>
      </c>
      <c r="C131" s="169">
        <v>0</v>
      </c>
      <c r="D131" s="166">
        <f>C131*1.05</f>
        <v>0</v>
      </c>
      <c r="E131" s="166">
        <f t="shared" si="7"/>
        <v>0</v>
      </c>
    </row>
    <row r="132" spans="1:5" ht="15.65" x14ac:dyDescent="0.3">
      <c r="A132" s="162">
        <v>2211102</v>
      </c>
      <c r="B132" s="170" t="s">
        <v>58</v>
      </c>
      <c r="C132" s="169"/>
      <c r="D132" s="166">
        <f t="shared" si="6"/>
        <v>0</v>
      </c>
      <c r="E132" s="166">
        <f t="shared" si="7"/>
        <v>0</v>
      </c>
    </row>
    <row r="133" spans="1:5" ht="15.65" x14ac:dyDescent="0.3">
      <c r="A133" s="162">
        <v>2211103</v>
      </c>
      <c r="B133" s="170" t="s">
        <v>59</v>
      </c>
      <c r="C133" s="169"/>
      <c r="D133" s="166">
        <f t="shared" si="6"/>
        <v>0</v>
      </c>
      <c r="E133" s="166">
        <f t="shared" si="7"/>
        <v>0</v>
      </c>
    </row>
    <row r="134" spans="1:5" ht="15.65" x14ac:dyDescent="0.3">
      <c r="A134" s="163">
        <v>2211200</v>
      </c>
      <c r="B134" s="465" t="s">
        <v>60</v>
      </c>
      <c r="C134" s="164">
        <f>C135</f>
        <v>1926000</v>
      </c>
      <c r="D134" s="167">
        <f t="shared" si="6"/>
        <v>2022300</v>
      </c>
      <c r="E134" s="167">
        <f t="shared" si="7"/>
        <v>2123415</v>
      </c>
    </row>
    <row r="135" spans="1:5" ht="15.65" x14ac:dyDescent="0.3">
      <c r="A135" s="162">
        <v>2211201</v>
      </c>
      <c r="B135" s="170" t="s">
        <v>61</v>
      </c>
      <c r="C135" s="169">
        <v>1926000</v>
      </c>
      <c r="D135" s="166">
        <f t="shared" si="6"/>
        <v>2022300</v>
      </c>
      <c r="E135" s="166">
        <f t="shared" si="7"/>
        <v>2123415</v>
      </c>
    </row>
    <row r="136" spans="1:5" ht="15.65" x14ac:dyDescent="0.3">
      <c r="A136" s="163">
        <v>2211300</v>
      </c>
      <c r="B136" s="465" t="s">
        <v>62</v>
      </c>
      <c r="C136" s="164">
        <f>SUM(C137:C141)</f>
        <v>434032</v>
      </c>
      <c r="D136" s="167">
        <f t="shared" si="6"/>
        <v>455733.60000000003</v>
      </c>
      <c r="E136" s="167">
        <f t="shared" si="7"/>
        <v>478520.28</v>
      </c>
    </row>
    <row r="137" spans="1:5" ht="15.65" x14ac:dyDescent="0.3">
      <c r="A137" s="162">
        <v>2211306</v>
      </c>
      <c r="B137" s="467" t="s">
        <v>65</v>
      </c>
      <c r="C137" s="169">
        <v>10000</v>
      </c>
      <c r="D137" s="166">
        <f t="shared" si="6"/>
        <v>10500</v>
      </c>
      <c r="E137" s="166">
        <f t="shared" si="7"/>
        <v>11025</v>
      </c>
    </row>
    <row r="138" spans="1:5" ht="15.65" x14ac:dyDescent="0.3">
      <c r="A138" s="162">
        <v>2210904</v>
      </c>
      <c r="B138" s="470" t="s">
        <v>66</v>
      </c>
      <c r="C138" s="169">
        <v>424032</v>
      </c>
      <c r="D138" s="166">
        <f t="shared" si="6"/>
        <v>445233.60000000003</v>
      </c>
      <c r="E138" s="166">
        <f t="shared" si="7"/>
        <v>467495.28</v>
      </c>
    </row>
    <row r="139" spans="1:5" ht="15.65" x14ac:dyDescent="0.3">
      <c r="A139" s="162">
        <v>2410104</v>
      </c>
      <c r="B139" s="467" t="s">
        <v>68</v>
      </c>
      <c r="C139" s="169">
        <v>0</v>
      </c>
      <c r="D139" s="166">
        <f t="shared" si="6"/>
        <v>0</v>
      </c>
      <c r="E139" s="166">
        <f t="shared" si="7"/>
        <v>0</v>
      </c>
    </row>
    <row r="140" spans="1:5" ht="15.65" x14ac:dyDescent="0.3">
      <c r="A140" s="162">
        <v>2211308</v>
      </c>
      <c r="B140" s="467" t="s">
        <v>69</v>
      </c>
      <c r="C140" s="169">
        <v>0</v>
      </c>
      <c r="D140" s="166">
        <f t="shared" si="6"/>
        <v>0</v>
      </c>
      <c r="E140" s="166">
        <f t="shared" si="7"/>
        <v>0</v>
      </c>
    </row>
    <row r="141" spans="1:5" ht="15.65" x14ac:dyDescent="0.3">
      <c r="A141" s="162">
        <v>2211310</v>
      </c>
      <c r="B141" s="467" t="s">
        <v>70</v>
      </c>
      <c r="C141" s="169">
        <v>0</v>
      </c>
      <c r="D141" s="166">
        <f t="shared" si="6"/>
        <v>0</v>
      </c>
      <c r="E141" s="166">
        <f t="shared" si="7"/>
        <v>0</v>
      </c>
    </row>
    <row r="142" spans="1:5" ht="15.65" x14ac:dyDescent="0.3">
      <c r="A142" s="163">
        <v>2220100</v>
      </c>
      <c r="B142" s="465" t="s">
        <v>71</v>
      </c>
      <c r="C142" s="164">
        <f>C143</f>
        <v>490000</v>
      </c>
      <c r="D142" s="167">
        <f t="shared" si="6"/>
        <v>514500</v>
      </c>
      <c r="E142" s="167">
        <f t="shared" si="7"/>
        <v>540225</v>
      </c>
    </row>
    <row r="143" spans="1:5" ht="15.65" x14ac:dyDescent="0.3">
      <c r="A143" s="162">
        <v>2220101</v>
      </c>
      <c r="B143" s="467" t="s">
        <v>72</v>
      </c>
      <c r="C143" s="169">
        <v>490000</v>
      </c>
      <c r="D143" s="166">
        <f t="shared" si="6"/>
        <v>514500</v>
      </c>
      <c r="E143" s="166">
        <f t="shared" si="7"/>
        <v>540225</v>
      </c>
    </row>
    <row r="144" spans="1:5" ht="15.65" x14ac:dyDescent="0.3">
      <c r="A144" s="163">
        <v>2220200</v>
      </c>
      <c r="B144" s="465" t="s">
        <v>73</v>
      </c>
      <c r="C144" s="164">
        <f>C145+C146+C147+C148</f>
        <v>0</v>
      </c>
      <c r="D144" s="167">
        <f t="shared" si="6"/>
        <v>0</v>
      </c>
      <c r="E144" s="167">
        <f t="shared" si="7"/>
        <v>0</v>
      </c>
    </row>
    <row r="145" spans="1:9" ht="15.65" x14ac:dyDescent="0.3">
      <c r="A145" s="162">
        <v>2220201</v>
      </c>
      <c r="B145" s="467" t="s">
        <v>74</v>
      </c>
      <c r="C145" s="165">
        <v>0</v>
      </c>
      <c r="D145" s="166">
        <f t="shared" si="6"/>
        <v>0</v>
      </c>
      <c r="E145" s="166">
        <f t="shared" si="7"/>
        <v>0</v>
      </c>
    </row>
    <row r="146" spans="1:9" ht="15.65" x14ac:dyDescent="0.3">
      <c r="A146" s="162">
        <v>2220202</v>
      </c>
      <c r="B146" s="467" t="s">
        <v>75</v>
      </c>
      <c r="C146" s="169">
        <v>0</v>
      </c>
      <c r="D146" s="166">
        <f t="shared" si="6"/>
        <v>0</v>
      </c>
      <c r="E146" s="166">
        <f t="shared" si="7"/>
        <v>0</v>
      </c>
    </row>
    <row r="147" spans="1:9" ht="15.65" x14ac:dyDescent="0.3">
      <c r="A147" s="162">
        <v>2220205</v>
      </c>
      <c r="B147" s="466" t="s">
        <v>76</v>
      </c>
      <c r="C147" s="169">
        <v>0</v>
      </c>
      <c r="D147" s="166">
        <f t="shared" si="6"/>
        <v>0</v>
      </c>
      <c r="E147" s="166">
        <f t="shared" si="7"/>
        <v>0</v>
      </c>
    </row>
    <row r="148" spans="1:9" ht="15.65" x14ac:dyDescent="0.3">
      <c r="A148" s="162">
        <v>2220210</v>
      </c>
      <c r="B148" s="467" t="s">
        <v>77</v>
      </c>
      <c r="C148" s="169">
        <v>0</v>
      </c>
      <c r="D148" s="166">
        <f t="shared" si="6"/>
        <v>0</v>
      </c>
      <c r="E148" s="166">
        <f t="shared" si="7"/>
        <v>0</v>
      </c>
    </row>
    <row r="149" spans="1:9" ht="15.65" x14ac:dyDescent="0.3">
      <c r="A149" s="163">
        <v>3111000</v>
      </c>
      <c r="B149" s="465" t="s">
        <v>82</v>
      </c>
      <c r="C149" s="164">
        <f>C150+C151+C152</f>
        <v>0</v>
      </c>
      <c r="D149" s="167">
        <f t="shared" si="6"/>
        <v>0</v>
      </c>
      <c r="E149" s="167">
        <f t="shared" si="7"/>
        <v>0</v>
      </c>
    </row>
    <row r="150" spans="1:9" ht="15.65" x14ac:dyDescent="0.3">
      <c r="A150" s="162">
        <v>3111001</v>
      </c>
      <c r="B150" s="467" t="s">
        <v>83</v>
      </c>
      <c r="C150" s="169">
        <v>0</v>
      </c>
      <c r="D150" s="166">
        <f t="shared" si="6"/>
        <v>0</v>
      </c>
      <c r="E150" s="166">
        <f t="shared" si="7"/>
        <v>0</v>
      </c>
    </row>
    <row r="151" spans="1:9" ht="15.65" x14ac:dyDescent="0.3">
      <c r="A151" s="162">
        <v>3111002</v>
      </c>
      <c r="B151" s="467" t="s">
        <v>84</v>
      </c>
      <c r="C151" s="169">
        <v>0</v>
      </c>
      <c r="D151" s="166">
        <f t="shared" si="6"/>
        <v>0</v>
      </c>
      <c r="E151" s="166">
        <f t="shared" si="7"/>
        <v>0</v>
      </c>
    </row>
    <row r="152" spans="1:9" ht="15.65" x14ac:dyDescent="0.3">
      <c r="A152" s="162"/>
      <c r="B152" s="467"/>
      <c r="C152" s="169"/>
      <c r="D152" s="166"/>
      <c r="E152" s="166"/>
    </row>
    <row r="153" spans="1:9" ht="15.65" x14ac:dyDescent="0.3">
      <c r="A153" s="848" t="s">
        <v>87</v>
      </c>
      <c r="B153" s="849"/>
      <c r="C153" s="164">
        <f>C84+C89+C93+C96+C98+C101+C105+C110+C113+C118+C122+C130+C134+C136+C142+C149</f>
        <v>15456042.359999999</v>
      </c>
      <c r="D153" s="164">
        <f>D84+D96+D98+D101+D105+D110+D113+D118+D122+D134+D136+D142+D144+D149</f>
        <v>14879847.527999999</v>
      </c>
      <c r="E153" s="164">
        <f>E84+E96+E98+E101+E105+E110+E113+E118+E122+E134+E136+E142+E144+E149</f>
        <v>15623839.9044</v>
      </c>
      <c r="G153" s="6" t="s">
        <v>1159</v>
      </c>
      <c r="H153" s="14"/>
      <c r="I153" s="10"/>
    </row>
    <row r="154" spans="1:9" ht="15.65" x14ac:dyDescent="0.3">
      <c r="A154" s="162"/>
      <c r="B154" s="467"/>
      <c r="C154" s="165"/>
      <c r="D154" s="166"/>
      <c r="E154" s="166"/>
    </row>
    <row r="155" spans="1:9" ht="15.65" x14ac:dyDescent="0.3">
      <c r="A155" s="848" t="s">
        <v>90</v>
      </c>
      <c r="B155" s="849"/>
      <c r="C155" s="165"/>
      <c r="D155" s="166"/>
      <c r="E155" s="166"/>
    </row>
    <row r="156" spans="1:9" ht="15.65" x14ac:dyDescent="0.3">
      <c r="A156" s="180">
        <v>3111011</v>
      </c>
      <c r="B156" s="471" t="s">
        <v>91</v>
      </c>
      <c r="C156" s="194">
        <f>824541+15000000-791227.05</f>
        <v>15033313.949999999</v>
      </c>
      <c r="D156" s="166">
        <f>C156*1.05</f>
        <v>15784979.647499999</v>
      </c>
      <c r="E156" s="166">
        <f>D156*1.05</f>
        <v>16574228.629875001</v>
      </c>
    </row>
    <row r="157" spans="1:9" ht="15.65" x14ac:dyDescent="0.3">
      <c r="A157" s="162">
        <v>2640503</v>
      </c>
      <c r="B157" s="467" t="s">
        <v>782</v>
      </c>
      <c r="C157" s="169">
        <v>45000000</v>
      </c>
      <c r="D157" s="166">
        <f t="shared" ref="D157:E160" si="8">C157*1.05</f>
        <v>47250000</v>
      </c>
      <c r="E157" s="166">
        <f t="shared" ref="E157" si="9">1.05*D157</f>
        <v>49612500</v>
      </c>
    </row>
    <row r="158" spans="1:9" ht="15.65" x14ac:dyDescent="0.3">
      <c r="A158" s="180">
        <v>2410104</v>
      </c>
      <c r="B158" s="471" t="s">
        <v>781</v>
      </c>
      <c r="C158" s="165">
        <v>0</v>
      </c>
      <c r="D158" s="166">
        <f t="shared" si="8"/>
        <v>0</v>
      </c>
      <c r="E158" s="166">
        <f t="shared" si="8"/>
        <v>0</v>
      </c>
    </row>
    <row r="159" spans="1:9" ht="15.65" x14ac:dyDescent="0.3">
      <c r="A159" s="850" t="s">
        <v>95</v>
      </c>
      <c r="B159" s="847"/>
      <c r="C159" s="181">
        <f>C156+C157+C158</f>
        <v>60033313.950000003</v>
      </c>
      <c r="D159" s="167">
        <f t="shared" si="8"/>
        <v>63034979.647500008</v>
      </c>
      <c r="E159" s="167">
        <f t="shared" si="8"/>
        <v>66186728.629875012</v>
      </c>
    </row>
    <row r="160" spans="1:9" ht="15.65" x14ac:dyDescent="0.3">
      <c r="A160" s="846" t="s">
        <v>96</v>
      </c>
      <c r="B160" s="847"/>
      <c r="C160" s="164">
        <f>C153+C159</f>
        <v>75489356.310000002</v>
      </c>
      <c r="D160" s="167">
        <f t="shared" si="8"/>
        <v>79263824.125500008</v>
      </c>
      <c r="E160" s="167">
        <f t="shared" si="8"/>
        <v>83227015.33177501</v>
      </c>
    </row>
    <row r="161" spans="1:8" ht="15.65" x14ac:dyDescent="0.3">
      <c r="A161" s="150"/>
      <c r="B161" s="68"/>
      <c r="C161" s="149"/>
      <c r="D161" s="149"/>
      <c r="E161" s="149"/>
    </row>
    <row r="162" spans="1:8" ht="31.25" x14ac:dyDescent="0.3">
      <c r="A162" s="63" t="s">
        <v>319</v>
      </c>
      <c r="B162" s="462" t="s">
        <v>700</v>
      </c>
      <c r="C162" s="160" t="s">
        <v>320</v>
      </c>
      <c r="D162" s="161" t="s">
        <v>701</v>
      </c>
      <c r="E162" s="161" t="s">
        <v>932</v>
      </c>
    </row>
    <row r="163" spans="1:8" ht="15.65" x14ac:dyDescent="0.3">
      <c r="A163" s="162">
        <v>2110100</v>
      </c>
      <c r="B163" s="163" t="s">
        <v>321</v>
      </c>
      <c r="C163" s="164">
        <f>C164</f>
        <v>869900</v>
      </c>
      <c r="D163" s="167">
        <f>C163*1.05</f>
        <v>913395</v>
      </c>
      <c r="E163" s="167">
        <f>D163*1.05</f>
        <v>959064.75</v>
      </c>
    </row>
    <row r="164" spans="1:8" ht="15.65" x14ac:dyDescent="0.3">
      <c r="A164" s="162">
        <v>2110101</v>
      </c>
      <c r="B164" s="170" t="s">
        <v>322</v>
      </c>
      <c r="C164" s="165">
        <v>869900</v>
      </c>
      <c r="D164" s="166">
        <f t="shared" ref="D164:D230" si="10">C164*1.05</f>
        <v>913395</v>
      </c>
      <c r="E164" s="166">
        <f t="shared" ref="E164:E230" si="11">1.05*D164</f>
        <v>959064.75</v>
      </c>
      <c r="H164" s="14"/>
    </row>
    <row r="165" spans="1:8" ht="15.65" x14ac:dyDescent="0.3">
      <c r="A165" s="162">
        <v>2110200</v>
      </c>
      <c r="B165" s="163" t="s">
        <v>4</v>
      </c>
      <c r="C165" s="164">
        <v>0</v>
      </c>
      <c r="D165" s="166">
        <f t="shared" si="10"/>
        <v>0</v>
      </c>
      <c r="E165" s="166">
        <f t="shared" si="11"/>
        <v>0</v>
      </c>
    </row>
    <row r="166" spans="1:8" ht="15.65" x14ac:dyDescent="0.3">
      <c r="A166" s="162">
        <v>2110201</v>
      </c>
      <c r="B166" s="162" t="s">
        <v>6</v>
      </c>
      <c r="C166" s="165">
        <v>0</v>
      </c>
      <c r="D166" s="166">
        <f t="shared" si="10"/>
        <v>0</v>
      </c>
      <c r="E166" s="166">
        <f t="shared" si="11"/>
        <v>0</v>
      </c>
      <c r="G166" s="10"/>
    </row>
    <row r="167" spans="1:8" ht="15.65" x14ac:dyDescent="0.3">
      <c r="A167" s="162">
        <v>2110202</v>
      </c>
      <c r="B167" s="162" t="s">
        <v>8</v>
      </c>
      <c r="C167" s="165">
        <v>0</v>
      </c>
      <c r="D167" s="166">
        <f t="shared" si="10"/>
        <v>0</v>
      </c>
      <c r="E167" s="166">
        <f t="shared" si="11"/>
        <v>0</v>
      </c>
    </row>
    <row r="168" spans="1:8" ht="15.65" x14ac:dyDescent="0.3">
      <c r="A168" s="162">
        <v>2110300</v>
      </c>
      <c r="B168" s="463" t="s">
        <v>9</v>
      </c>
      <c r="C168" s="164">
        <f>C169+C170</f>
        <v>330000</v>
      </c>
      <c r="D168" s="166">
        <f t="shared" si="10"/>
        <v>346500</v>
      </c>
      <c r="E168" s="166">
        <f t="shared" si="11"/>
        <v>363825</v>
      </c>
    </row>
    <row r="169" spans="1:8" ht="15.65" x14ac:dyDescent="0.3">
      <c r="A169" s="162">
        <v>2110301</v>
      </c>
      <c r="B169" s="170" t="s">
        <v>10</v>
      </c>
      <c r="C169" s="165">
        <v>210000</v>
      </c>
      <c r="D169" s="166">
        <f t="shared" si="10"/>
        <v>220500</v>
      </c>
      <c r="E169" s="166">
        <f t="shared" si="11"/>
        <v>231525</v>
      </c>
      <c r="H169" s="10"/>
    </row>
    <row r="170" spans="1:8" ht="15.65" x14ac:dyDescent="0.3">
      <c r="A170" s="162">
        <v>2110302</v>
      </c>
      <c r="B170" s="170" t="s">
        <v>702</v>
      </c>
      <c r="C170" s="165">
        <v>120000</v>
      </c>
      <c r="D170" s="166">
        <f t="shared" si="10"/>
        <v>126000</v>
      </c>
      <c r="E170" s="166">
        <f t="shared" si="11"/>
        <v>132300</v>
      </c>
      <c r="H170" s="10"/>
    </row>
    <row r="171" spans="1:8" ht="15.65" x14ac:dyDescent="0.3">
      <c r="A171" s="162">
        <v>2110400</v>
      </c>
      <c r="B171" s="463" t="s">
        <v>13</v>
      </c>
      <c r="C171" s="164">
        <f>C172</f>
        <v>10000</v>
      </c>
      <c r="D171" s="166">
        <f t="shared" si="10"/>
        <v>10500</v>
      </c>
      <c r="E171" s="166">
        <f t="shared" si="11"/>
        <v>11025</v>
      </c>
      <c r="H171" s="10"/>
    </row>
    <row r="172" spans="1:8" ht="15.65" x14ac:dyDescent="0.3">
      <c r="A172" s="162">
        <v>2110404</v>
      </c>
      <c r="B172" s="162" t="s">
        <v>16</v>
      </c>
      <c r="C172" s="165">
        <v>10000</v>
      </c>
      <c r="D172" s="167">
        <f t="shared" si="10"/>
        <v>10500</v>
      </c>
      <c r="E172" s="166">
        <f t="shared" si="11"/>
        <v>11025</v>
      </c>
    </row>
    <row r="173" spans="1:8" ht="15.65" x14ac:dyDescent="0.3">
      <c r="A173" s="162"/>
      <c r="B173" s="163" t="s">
        <v>810</v>
      </c>
      <c r="C173" s="164">
        <f>C174</f>
        <v>662640</v>
      </c>
      <c r="D173" s="164">
        <f t="shared" ref="D173:E173" si="12">D174</f>
        <v>695772</v>
      </c>
      <c r="E173" s="164">
        <f t="shared" si="12"/>
        <v>730560.6</v>
      </c>
    </row>
    <row r="174" spans="1:8" ht="15.65" x14ac:dyDescent="0.3">
      <c r="A174" s="162"/>
      <c r="B174" s="162" t="s">
        <v>937</v>
      </c>
      <c r="C174" s="165">
        <v>662640</v>
      </c>
      <c r="D174" s="166">
        <f>C174*1.05</f>
        <v>695772</v>
      </c>
      <c r="E174" s="166">
        <f>D174*1.05</f>
        <v>730560.6</v>
      </c>
    </row>
    <row r="175" spans="1:8" ht="15.65" x14ac:dyDescent="0.3">
      <c r="A175" s="163">
        <v>2210100</v>
      </c>
      <c r="B175" s="464" t="s">
        <v>23</v>
      </c>
      <c r="C175" s="164">
        <f>C176+C177</f>
        <v>20000</v>
      </c>
      <c r="D175" s="167">
        <f t="shared" si="10"/>
        <v>21000</v>
      </c>
      <c r="E175" s="167">
        <f t="shared" si="11"/>
        <v>22050</v>
      </c>
    </row>
    <row r="176" spans="1:8" ht="15.65" x14ac:dyDescent="0.3">
      <c r="A176" s="162">
        <v>2210101</v>
      </c>
      <c r="B176" s="162" t="s">
        <v>24</v>
      </c>
      <c r="C176" s="169">
        <v>0</v>
      </c>
      <c r="D176" s="166">
        <f t="shared" si="10"/>
        <v>0</v>
      </c>
      <c r="E176" s="166">
        <f t="shared" si="11"/>
        <v>0</v>
      </c>
    </row>
    <row r="177" spans="1:5" ht="15.65" x14ac:dyDescent="0.3">
      <c r="A177" s="162">
        <v>2210102</v>
      </c>
      <c r="B177" s="162" t="s">
        <v>25</v>
      </c>
      <c r="C177" s="169">
        <v>20000</v>
      </c>
      <c r="D177" s="166">
        <f t="shared" si="10"/>
        <v>21000</v>
      </c>
      <c r="E177" s="166">
        <f t="shared" si="11"/>
        <v>22050</v>
      </c>
    </row>
    <row r="178" spans="1:5" ht="15.65" x14ac:dyDescent="0.3">
      <c r="A178" s="163">
        <v>2210200</v>
      </c>
      <c r="B178" s="464" t="s">
        <v>26</v>
      </c>
      <c r="C178" s="164">
        <f>C179+C180+C181</f>
        <v>24500</v>
      </c>
      <c r="D178" s="167">
        <f t="shared" si="10"/>
        <v>25725</v>
      </c>
      <c r="E178" s="167">
        <f t="shared" si="11"/>
        <v>27011.25</v>
      </c>
    </row>
    <row r="179" spans="1:5" ht="15.65" x14ac:dyDescent="0.3">
      <c r="A179" s="170">
        <v>2210201</v>
      </c>
      <c r="B179" s="170" t="s">
        <v>27</v>
      </c>
      <c r="C179" s="169">
        <v>0</v>
      </c>
      <c r="D179" s="166">
        <f t="shared" si="10"/>
        <v>0</v>
      </c>
      <c r="E179" s="166">
        <f t="shared" si="11"/>
        <v>0</v>
      </c>
    </row>
    <row r="180" spans="1:5" ht="15.65" x14ac:dyDescent="0.3">
      <c r="A180" s="170">
        <v>2210202</v>
      </c>
      <c r="B180" s="170" t="s">
        <v>28</v>
      </c>
      <c r="C180" s="169">
        <v>22500</v>
      </c>
      <c r="D180" s="166">
        <f t="shared" si="10"/>
        <v>23625</v>
      </c>
      <c r="E180" s="166">
        <f t="shared" si="11"/>
        <v>24806.25</v>
      </c>
    </row>
    <row r="181" spans="1:5" ht="15.65" x14ac:dyDescent="0.3">
      <c r="A181" s="162">
        <v>2210203</v>
      </c>
      <c r="B181" s="162" t="s">
        <v>29</v>
      </c>
      <c r="C181" s="169">
        <v>2000</v>
      </c>
      <c r="D181" s="166">
        <f t="shared" si="10"/>
        <v>2100</v>
      </c>
      <c r="E181" s="166">
        <f t="shared" si="11"/>
        <v>2205</v>
      </c>
    </row>
    <row r="182" spans="1:5" ht="15.65" x14ac:dyDescent="0.3">
      <c r="A182" s="163">
        <v>2210300</v>
      </c>
      <c r="B182" s="465" t="s">
        <v>30</v>
      </c>
      <c r="C182" s="164">
        <f>C183+C184+C185+C186</f>
        <v>3450200</v>
      </c>
      <c r="D182" s="167">
        <f>D183+D184+D185+D186</f>
        <v>3622710</v>
      </c>
      <c r="E182" s="167">
        <f>E183+E184+E185+E186</f>
        <v>3803845.5</v>
      </c>
    </row>
    <row r="183" spans="1:5" ht="15.65" x14ac:dyDescent="0.3">
      <c r="A183" s="162">
        <v>2210301</v>
      </c>
      <c r="B183" s="170" t="s">
        <v>31</v>
      </c>
      <c r="C183" s="169">
        <v>208000</v>
      </c>
      <c r="D183" s="166">
        <f t="shared" si="10"/>
        <v>218400</v>
      </c>
      <c r="E183" s="166">
        <f t="shared" si="11"/>
        <v>229320</v>
      </c>
    </row>
    <row r="184" spans="1:5" ht="15.65" x14ac:dyDescent="0.3">
      <c r="A184" s="170" t="s">
        <v>33</v>
      </c>
      <c r="B184" s="171" t="s">
        <v>34</v>
      </c>
      <c r="C184" s="169">
        <v>771000</v>
      </c>
      <c r="D184" s="166">
        <f t="shared" si="10"/>
        <v>809550</v>
      </c>
      <c r="E184" s="166">
        <f t="shared" si="11"/>
        <v>850027.5</v>
      </c>
    </row>
    <row r="185" spans="1:5" ht="15.65" x14ac:dyDescent="0.3">
      <c r="A185" s="162">
        <v>2210303</v>
      </c>
      <c r="B185" s="170" t="s">
        <v>32</v>
      </c>
      <c r="C185" s="169">
        <v>1943200</v>
      </c>
      <c r="D185" s="166">
        <f t="shared" si="10"/>
        <v>2040360</v>
      </c>
      <c r="E185" s="166">
        <f t="shared" si="11"/>
        <v>2142378</v>
      </c>
    </row>
    <row r="186" spans="1:5" ht="15.65" x14ac:dyDescent="0.3">
      <c r="A186" s="170" t="s">
        <v>35</v>
      </c>
      <c r="B186" s="171" t="s">
        <v>36</v>
      </c>
      <c r="C186" s="169">
        <v>528000</v>
      </c>
      <c r="D186" s="166">
        <f t="shared" si="10"/>
        <v>554400</v>
      </c>
      <c r="E186" s="166">
        <f t="shared" si="11"/>
        <v>582120</v>
      </c>
    </row>
    <row r="187" spans="1:5" ht="15.65" x14ac:dyDescent="0.3">
      <c r="A187" s="162">
        <v>2210400</v>
      </c>
      <c r="B187" s="465" t="s">
        <v>37</v>
      </c>
      <c r="C187" s="164">
        <v>0</v>
      </c>
      <c r="D187" s="166">
        <f t="shared" si="10"/>
        <v>0</v>
      </c>
      <c r="E187" s="166">
        <f t="shared" si="11"/>
        <v>0</v>
      </c>
    </row>
    <row r="188" spans="1:5" ht="15.65" x14ac:dyDescent="0.3">
      <c r="A188" s="162">
        <v>2210401</v>
      </c>
      <c r="B188" s="170" t="s">
        <v>31</v>
      </c>
      <c r="C188" s="165">
        <v>0</v>
      </c>
      <c r="D188" s="166">
        <f t="shared" si="10"/>
        <v>0</v>
      </c>
      <c r="E188" s="166">
        <f t="shared" si="11"/>
        <v>0</v>
      </c>
    </row>
    <row r="189" spans="1:5" ht="15.65" x14ac:dyDescent="0.3">
      <c r="A189" s="162">
        <v>2210403</v>
      </c>
      <c r="B189" s="170" t="s">
        <v>32</v>
      </c>
      <c r="C189" s="165"/>
      <c r="D189" s="166">
        <f t="shared" si="10"/>
        <v>0</v>
      </c>
      <c r="E189" s="166">
        <f t="shared" si="11"/>
        <v>0</v>
      </c>
    </row>
    <row r="190" spans="1:5" ht="15.65" x14ac:dyDescent="0.3">
      <c r="A190" s="163">
        <v>2210500</v>
      </c>
      <c r="B190" s="465" t="s">
        <v>38</v>
      </c>
      <c r="C190" s="164">
        <f>C191+C192+C193+C194</f>
        <v>100000</v>
      </c>
      <c r="D190" s="167">
        <f>D191+D192+D193+D194</f>
        <v>105000</v>
      </c>
      <c r="E190" s="167">
        <f>E191+E192+E193+E194</f>
        <v>110250</v>
      </c>
    </row>
    <row r="191" spans="1:5" ht="15.65" x14ac:dyDescent="0.3">
      <c r="A191" s="162">
        <v>2210502</v>
      </c>
      <c r="B191" s="466" t="s">
        <v>39</v>
      </c>
      <c r="C191" s="169">
        <v>100000</v>
      </c>
      <c r="D191" s="166">
        <f t="shared" si="10"/>
        <v>105000</v>
      </c>
      <c r="E191" s="166">
        <f t="shared" si="11"/>
        <v>110250</v>
      </c>
    </row>
    <row r="192" spans="1:5" ht="15.65" x14ac:dyDescent="0.3">
      <c r="A192" s="162">
        <v>2210503</v>
      </c>
      <c r="B192" s="170" t="s">
        <v>40</v>
      </c>
      <c r="C192" s="169">
        <v>0</v>
      </c>
      <c r="D192" s="166">
        <f t="shared" si="10"/>
        <v>0</v>
      </c>
      <c r="E192" s="166">
        <f t="shared" si="11"/>
        <v>0</v>
      </c>
    </row>
    <row r="193" spans="1:5" ht="15.65" x14ac:dyDescent="0.3">
      <c r="A193" s="162">
        <v>2210504</v>
      </c>
      <c r="B193" s="170" t="s">
        <v>323</v>
      </c>
      <c r="C193" s="169">
        <v>0</v>
      </c>
      <c r="D193" s="166">
        <f t="shared" si="10"/>
        <v>0</v>
      </c>
      <c r="E193" s="166">
        <f t="shared" si="11"/>
        <v>0</v>
      </c>
    </row>
    <row r="194" spans="1:5" ht="15.65" x14ac:dyDescent="0.3">
      <c r="A194" s="162">
        <v>2210505</v>
      </c>
      <c r="B194" s="162" t="s">
        <v>41</v>
      </c>
      <c r="C194" s="169">
        <v>0</v>
      </c>
      <c r="D194" s="166">
        <f t="shared" si="10"/>
        <v>0</v>
      </c>
      <c r="E194" s="166">
        <f t="shared" si="11"/>
        <v>0</v>
      </c>
    </row>
    <row r="195" spans="1:5" ht="15.65" x14ac:dyDescent="0.3">
      <c r="A195" s="163">
        <v>2210700</v>
      </c>
      <c r="B195" s="465" t="s">
        <v>45</v>
      </c>
      <c r="C195" s="164">
        <f>C196+C197+C198</f>
        <v>432420</v>
      </c>
      <c r="D195" s="167">
        <f t="shared" si="10"/>
        <v>454041</v>
      </c>
      <c r="E195" s="167">
        <f t="shared" si="11"/>
        <v>476743.05000000005</v>
      </c>
    </row>
    <row r="196" spans="1:5" ht="15.65" x14ac:dyDescent="0.3">
      <c r="A196" s="162">
        <v>2210710</v>
      </c>
      <c r="B196" s="170" t="s">
        <v>1158</v>
      </c>
      <c r="C196" s="169">
        <v>44800</v>
      </c>
      <c r="D196" s="166">
        <f t="shared" si="10"/>
        <v>47040</v>
      </c>
      <c r="E196" s="166">
        <f t="shared" si="11"/>
        <v>49392</v>
      </c>
    </row>
    <row r="197" spans="1:5" ht="15.65" x14ac:dyDescent="0.3">
      <c r="A197" s="162">
        <v>2210705</v>
      </c>
      <c r="B197" s="170" t="s">
        <v>46</v>
      </c>
      <c r="C197" s="169">
        <v>0</v>
      </c>
      <c r="D197" s="166">
        <f t="shared" si="10"/>
        <v>0</v>
      </c>
      <c r="E197" s="166">
        <f t="shared" si="11"/>
        <v>0</v>
      </c>
    </row>
    <row r="198" spans="1:5" ht="15.65" x14ac:dyDescent="0.3">
      <c r="A198" s="162">
        <v>2210711</v>
      </c>
      <c r="B198" s="170" t="s">
        <v>47</v>
      </c>
      <c r="C198" s="169">
        <v>387620</v>
      </c>
      <c r="D198" s="166">
        <f t="shared" si="10"/>
        <v>407001</v>
      </c>
      <c r="E198" s="166">
        <f t="shared" si="11"/>
        <v>427351.05000000005</v>
      </c>
    </row>
    <row r="199" spans="1:5" ht="15.65" x14ac:dyDescent="0.3">
      <c r="A199" s="163">
        <v>2210800</v>
      </c>
      <c r="B199" s="465" t="s">
        <v>48</v>
      </c>
      <c r="C199" s="164">
        <f>C200+C201</f>
        <v>1284000</v>
      </c>
      <c r="D199" s="167">
        <f t="shared" si="10"/>
        <v>1348200</v>
      </c>
      <c r="E199" s="167">
        <f t="shared" si="11"/>
        <v>1415610</v>
      </c>
    </row>
    <row r="200" spans="1:5" ht="15.65" x14ac:dyDescent="0.3">
      <c r="A200" s="162">
        <v>2210801</v>
      </c>
      <c r="B200" s="170" t="s">
        <v>49</v>
      </c>
      <c r="C200" s="169">
        <v>204000</v>
      </c>
      <c r="D200" s="166">
        <f t="shared" si="10"/>
        <v>214200</v>
      </c>
      <c r="E200" s="166">
        <f t="shared" si="11"/>
        <v>224910</v>
      </c>
    </row>
    <row r="201" spans="1:5" ht="15.65" x14ac:dyDescent="0.3">
      <c r="A201" s="170">
        <v>2210802</v>
      </c>
      <c r="B201" s="466" t="s">
        <v>324</v>
      </c>
      <c r="C201" s="169">
        <v>1080000</v>
      </c>
      <c r="D201" s="166">
        <f t="shared" si="10"/>
        <v>1134000</v>
      </c>
      <c r="E201" s="166">
        <f t="shared" si="11"/>
        <v>1190700</v>
      </c>
    </row>
    <row r="202" spans="1:5" ht="15.65" x14ac:dyDescent="0.3">
      <c r="A202" s="163">
        <v>2211000</v>
      </c>
      <c r="B202" s="465" t="s">
        <v>51</v>
      </c>
      <c r="C202" s="164">
        <f>SUM(C203:C206)</f>
        <v>0</v>
      </c>
      <c r="D202" s="167">
        <f t="shared" si="10"/>
        <v>0</v>
      </c>
      <c r="E202" s="167">
        <f t="shared" si="11"/>
        <v>0</v>
      </c>
    </row>
    <row r="203" spans="1:5" ht="15.65" x14ac:dyDescent="0.3">
      <c r="A203" s="162">
        <v>2211009</v>
      </c>
      <c r="B203" s="467" t="s">
        <v>52</v>
      </c>
      <c r="C203" s="169">
        <v>0</v>
      </c>
      <c r="D203" s="166">
        <f t="shared" si="10"/>
        <v>0</v>
      </c>
      <c r="E203" s="166">
        <f t="shared" si="11"/>
        <v>0</v>
      </c>
    </row>
    <row r="204" spans="1:5" ht="15.65" x14ac:dyDescent="0.3">
      <c r="A204" s="162">
        <v>2211003</v>
      </c>
      <c r="B204" s="467" t="s">
        <v>53</v>
      </c>
      <c r="C204" s="169">
        <v>0</v>
      </c>
      <c r="D204" s="166">
        <f t="shared" si="10"/>
        <v>0</v>
      </c>
      <c r="E204" s="166">
        <f t="shared" si="11"/>
        <v>0</v>
      </c>
    </row>
    <row r="205" spans="1:5" ht="15.65" x14ac:dyDescent="0.3">
      <c r="A205" s="162">
        <v>2211004</v>
      </c>
      <c r="B205" s="467" t="s">
        <v>54</v>
      </c>
      <c r="C205" s="169">
        <v>0</v>
      </c>
      <c r="D205" s="166">
        <f t="shared" si="10"/>
        <v>0</v>
      </c>
      <c r="E205" s="166">
        <f t="shared" si="11"/>
        <v>0</v>
      </c>
    </row>
    <row r="206" spans="1:5" ht="15.65" x14ac:dyDescent="0.3">
      <c r="A206" s="162">
        <v>2211016</v>
      </c>
      <c r="B206" s="466" t="s">
        <v>55</v>
      </c>
      <c r="C206" s="169">
        <v>0</v>
      </c>
      <c r="D206" s="166">
        <f t="shared" si="10"/>
        <v>0</v>
      </c>
      <c r="E206" s="166">
        <f t="shared" si="11"/>
        <v>0</v>
      </c>
    </row>
    <row r="207" spans="1:5" ht="15.65" x14ac:dyDescent="0.3">
      <c r="A207" s="163">
        <v>2211100</v>
      </c>
      <c r="B207" s="465" t="s">
        <v>56</v>
      </c>
      <c r="C207" s="164">
        <f>C208+C209+C210</f>
        <v>600000</v>
      </c>
      <c r="D207" s="167">
        <f t="shared" si="10"/>
        <v>630000</v>
      </c>
      <c r="E207" s="167">
        <f t="shared" si="11"/>
        <v>661500</v>
      </c>
    </row>
    <row r="208" spans="1:5" ht="15.65" x14ac:dyDescent="0.3">
      <c r="A208" s="162">
        <v>2211101</v>
      </c>
      <c r="B208" s="170" t="s">
        <v>325</v>
      </c>
      <c r="C208" s="169">
        <v>600000</v>
      </c>
      <c r="D208" s="166">
        <f>C208*1.05</f>
        <v>630000</v>
      </c>
      <c r="E208" s="166">
        <f t="shared" si="11"/>
        <v>661500</v>
      </c>
    </row>
    <row r="209" spans="1:5" ht="15.65" x14ac:dyDescent="0.3">
      <c r="A209" s="162">
        <v>2211102</v>
      </c>
      <c r="B209" s="170" t="s">
        <v>58</v>
      </c>
      <c r="C209" s="169">
        <v>0</v>
      </c>
      <c r="D209" s="166">
        <f t="shared" si="10"/>
        <v>0</v>
      </c>
      <c r="E209" s="166">
        <f t="shared" si="11"/>
        <v>0</v>
      </c>
    </row>
    <row r="210" spans="1:5" ht="15.65" x14ac:dyDescent="0.3">
      <c r="A210" s="162">
        <v>2211103</v>
      </c>
      <c r="B210" s="170" t="s">
        <v>59</v>
      </c>
      <c r="C210" s="169">
        <v>0</v>
      </c>
      <c r="D210" s="166">
        <f t="shared" si="10"/>
        <v>0</v>
      </c>
      <c r="E210" s="166">
        <f t="shared" si="11"/>
        <v>0</v>
      </c>
    </row>
    <row r="211" spans="1:5" ht="15.65" x14ac:dyDescent="0.3">
      <c r="A211" s="163">
        <v>2211200</v>
      </c>
      <c r="B211" s="465" t="s">
        <v>60</v>
      </c>
      <c r="C211" s="164">
        <f>C212</f>
        <v>906000</v>
      </c>
      <c r="D211" s="167">
        <f t="shared" si="10"/>
        <v>951300</v>
      </c>
      <c r="E211" s="167">
        <f t="shared" si="11"/>
        <v>998865</v>
      </c>
    </row>
    <row r="212" spans="1:5" ht="15.65" x14ac:dyDescent="0.3">
      <c r="A212" s="162">
        <v>2211201</v>
      </c>
      <c r="B212" s="170" t="s">
        <v>61</v>
      </c>
      <c r="C212" s="169">
        <v>906000</v>
      </c>
      <c r="D212" s="166">
        <f t="shared" si="10"/>
        <v>951300</v>
      </c>
      <c r="E212" s="166">
        <f t="shared" si="11"/>
        <v>998865</v>
      </c>
    </row>
    <row r="213" spans="1:5" ht="15.65" x14ac:dyDescent="0.3">
      <c r="A213" s="163">
        <v>2211300</v>
      </c>
      <c r="B213" s="465" t="s">
        <v>62</v>
      </c>
      <c r="C213" s="164">
        <f>SUM(C214:C218)</f>
        <v>131722</v>
      </c>
      <c r="D213" s="167">
        <f t="shared" si="10"/>
        <v>138308.1</v>
      </c>
      <c r="E213" s="167">
        <f t="shared" si="11"/>
        <v>145223.505</v>
      </c>
    </row>
    <row r="214" spans="1:5" ht="15.65" x14ac:dyDescent="0.3">
      <c r="A214" s="162">
        <v>2211306</v>
      </c>
      <c r="B214" s="467" t="s">
        <v>65</v>
      </c>
      <c r="C214" s="169">
        <v>0</v>
      </c>
      <c r="D214" s="166">
        <f t="shared" si="10"/>
        <v>0</v>
      </c>
      <c r="E214" s="166">
        <f t="shared" si="11"/>
        <v>0</v>
      </c>
    </row>
    <row r="215" spans="1:5" ht="15.65" x14ac:dyDescent="0.3">
      <c r="A215" s="162">
        <v>2210904</v>
      </c>
      <c r="B215" s="467" t="s">
        <v>66</v>
      </c>
      <c r="C215" s="169">
        <v>131722</v>
      </c>
      <c r="D215" s="166">
        <f t="shared" si="10"/>
        <v>138308.1</v>
      </c>
      <c r="E215" s="166">
        <f t="shared" si="11"/>
        <v>145223.505</v>
      </c>
    </row>
    <row r="216" spans="1:5" ht="15.65" x14ac:dyDescent="0.3">
      <c r="A216" s="162">
        <v>2410104</v>
      </c>
      <c r="B216" s="467" t="s">
        <v>68</v>
      </c>
      <c r="C216" s="169">
        <v>0</v>
      </c>
      <c r="D216" s="166">
        <f t="shared" si="10"/>
        <v>0</v>
      </c>
      <c r="E216" s="166">
        <f t="shared" si="11"/>
        <v>0</v>
      </c>
    </row>
    <row r="217" spans="1:5" ht="15.65" x14ac:dyDescent="0.3">
      <c r="A217" s="162">
        <v>2211308</v>
      </c>
      <c r="B217" s="467" t="s">
        <v>69</v>
      </c>
      <c r="C217" s="169">
        <v>0</v>
      </c>
      <c r="D217" s="166">
        <f t="shared" si="10"/>
        <v>0</v>
      </c>
      <c r="E217" s="166">
        <f t="shared" si="11"/>
        <v>0</v>
      </c>
    </row>
    <row r="218" spans="1:5" ht="15.65" x14ac:dyDescent="0.3">
      <c r="A218" s="162">
        <v>2211310</v>
      </c>
      <c r="B218" s="467" t="s">
        <v>70</v>
      </c>
      <c r="C218" s="169">
        <v>0</v>
      </c>
      <c r="D218" s="166">
        <f t="shared" si="10"/>
        <v>0</v>
      </c>
      <c r="E218" s="166">
        <f t="shared" si="11"/>
        <v>0</v>
      </c>
    </row>
    <row r="219" spans="1:5" ht="15.65" x14ac:dyDescent="0.3">
      <c r="A219" s="163">
        <v>2220100</v>
      </c>
      <c r="B219" s="465" t="s">
        <v>71</v>
      </c>
      <c r="C219" s="164">
        <f>C220</f>
        <v>517974</v>
      </c>
      <c r="D219" s="167">
        <f t="shared" si="10"/>
        <v>543872.70000000007</v>
      </c>
      <c r="E219" s="167">
        <f t="shared" si="11"/>
        <v>571066.33500000008</v>
      </c>
    </row>
    <row r="220" spans="1:5" ht="15.65" x14ac:dyDescent="0.3">
      <c r="A220" s="162">
        <v>2220101</v>
      </c>
      <c r="B220" s="467" t="s">
        <v>72</v>
      </c>
      <c r="C220" s="169">
        <v>517974</v>
      </c>
      <c r="D220" s="166">
        <f t="shared" si="10"/>
        <v>543872.70000000007</v>
      </c>
      <c r="E220" s="166">
        <f t="shared" si="11"/>
        <v>571066.33500000008</v>
      </c>
    </row>
    <row r="221" spans="1:5" ht="15.65" x14ac:dyDescent="0.3">
      <c r="A221" s="163">
        <v>2220200</v>
      </c>
      <c r="B221" s="465" t="s">
        <v>73</v>
      </c>
      <c r="C221" s="164">
        <f>C222+C223+C224+C225</f>
        <v>0</v>
      </c>
      <c r="D221" s="167">
        <f t="shared" si="10"/>
        <v>0</v>
      </c>
      <c r="E221" s="167">
        <f t="shared" si="11"/>
        <v>0</v>
      </c>
    </row>
    <row r="222" spans="1:5" ht="15.65" x14ac:dyDescent="0.3">
      <c r="A222" s="162">
        <v>2220201</v>
      </c>
      <c r="B222" s="467" t="s">
        <v>74</v>
      </c>
      <c r="C222" s="165">
        <v>0</v>
      </c>
      <c r="D222" s="166">
        <f t="shared" si="10"/>
        <v>0</v>
      </c>
      <c r="E222" s="166">
        <f t="shared" si="11"/>
        <v>0</v>
      </c>
    </row>
    <row r="223" spans="1:5" ht="15.65" x14ac:dyDescent="0.3">
      <c r="A223" s="162">
        <v>2220202</v>
      </c>
      <c r="B223" s="467" t="s">
        <v>75</v>
      </c>
      <c r="C223" s="169">
        <v>0</v>
      </c>
      <c r="D223" s="166">
        <f t="shared" si="10"/>
        <v>0</v>
      </c>
      <c r="E223" s="166">
        <f t="shared" si="11"/>
        <v>0</v>
      </c>
    </row>
    <row r="224" spans="1:5" ht="15.65" x14ac:dyDescent="0.3">
      <c r="A224" s="162">
        <v>2220205</v>
      </c>
      <c r="B224" s="466" t="s">
        <v>76</v>
      </c>
      <c r="C224" s="169">
        <v>0</v>
      </c>
      <c r="D224" s="166">
        <f t="shared" si="10"/>
        <v>0</v>
      </c>
      <c r="E224" s="166">
        <f t="shared" si="11"/>
        <v>0</v>
      </c>
    </row>
    <row r="225" spans="1:9" ht="15.65" x14ac:dyDescent="0.3">
      <c r="A225" s="162">
        <v>2220210</v>
      </c>
      <c r="B225" s="467" t="s">
        <v>77</v>
      </c>
      <c r="C225" s="169">
        <v>0</v>
      </c>
      <c r="D225" s="166">
        <f t="shared" si="10"/>
        <v>0</v>
      </c>
      <c r="E225" s="166">
        <f t="shared" si="11"/>
        <v>0</v>
      </c>
    </row>
    <row r="226" spans="1:9" ht="15.65" x14ac:dyDescent="0.3">
      <c r="A226" s="163">
        <v>3111000</v>
      </c>
      <c r="B226" s="465" t="s">
        <v>82</v>
      </c>
      <c r="C226" s="164">
        <f>C227+C228+C229</f>
        <v>67000</v>
      </c>
      <c r="D226" s="167">
        <f t="shared" si="10"/>
        <v>70350</v>
      </c>
      <c r="E226" s="167">
        <f t="shared" si="11"/>
        <v>73867.5</v>
      </c>
    </row>
    <row r="227" spans="1:9" ht="15.65" x14ac:dyDescent="0.3">
      <c r="A227" s="162">
        <v>3111001</v>
      </c>
      <c r="B227" s="467" t="s">
        <v>83</v>
      </c>
      <c r="C227" s="169">
        <v>0</v>
      </c>
      <c r="D227" s="166">
        <f t="shared" si="10"/>
        <v>0</v>
      </c>
      <c r="E227" s="166">
        <f t="shared" si="11"/>
        <v>0</v>
      </c>
    </row>
    <row r="228" spans="1:9" ht="15.65" x14ac:dyDescent="0.3">
      <c r="A228" s="162">
        <v>3111002</v>
      </c>
      <c r="B228" s="467" t="s">
        <v>84</v>
      </c>
      <c r="C228" s="169">
        <v>67000</v>
      </c>
      <c r="D228" s="166">
        <f t="shared" si="10"/>
        <v>70350</v>
      </c>
      <c r="E228" s="166">
        <f t="shared" si="11"/>
        <v>73867.5</v>
      </c>
    </row>
    <row r="229" spans="1:9" ht="15.65" x14ac:dyDescent="0.3">
      <c r="A229" s="162">
        <v>3111003</v>
      </c>
      <c r="B229" s="467" t="s">
        <v>326</v>
      </c>
      <c r="C229" s="169">
        <v>0</v>
      </c>
      <c r="D229" s="166">
        <f t="shared" si="10"/>
        <v>0</v>
      </c>
      <c r="E229" s="166">
        <f t="shared" si="11"/>
        <v>0</v>
      </c>
    </row>
    <row r="230" spans="1:9" ht="15.65" x14ac:dyDescent="0.3">
      <c r="A230" s="163">
        <v>3111403</v>
      </c>
      <c r="B230" s="468" t="s">
        <v>327</v>
      </c>
      <c r="C230" s="164">
        <v>0</v>
      </c>
      <c r="D230" s="167">
        <f t="shared" si="10"/>
        <v>0</v>
      </c>
      <c r="E230" s="167">
        <f t="shared" si="11"/>
        <v>0</v>
      </c>
    </row>
    <row r="231" spans="1:9" ht="15.65" x14ac:dyDescent="0.3">
      <c r="A231" s="848" t="s">
        <v>87</v>
      </c>
      <c r="B231" s="849"/>
      <c r="C231" s="164">
        <f>C163+C168+C171+C173+C175+C178+C182+C190+C195+C199+C207+C211+C213+C219+C226</f>
        <v>9406356</v>
      </c>
      <c r="D231" s="167">
        <f>C231*1.05</f>
        <v>9876673.8000000007</v>
      </c>
      <c r="E231" s="167">
        <f>E163+E165+E168+E171+E175+E178+E182+E187+E190+E195+E199+E202+E207+E211+E213+E219+E221+E230</f>
        <v>9566079.3900000025</v>
      </c>
      <c r="H231" s="14"/>
    </row>
    <row r="232" spans="1:9" ht="15.65" x14ac:dyDescent="0.3">
      <c r="A232" s="173"/>
      <c r="B232" s="472"/>
      <c r="C232" s="164"/>
      <c r="D232" s="167"/>
      <c r="E232" s="167"/>
      <c r="I232" s="10"/>
    </row>
    <row r="233" spans="1:9" ht="15.65" x14ac:dyDescent="0.3">
      <c r="A233" s="848" t="s">
        <v>90</v>
      </c>
      <c r="B233" s="849"/>
      <c r="C233" s="165"/>
      <c r="D233" s="166"/>
      <c r="E233" s="166"/>
    </row>
    <row r="234" spans="1:9" ht="15.65" x14ac:dyDescent="0.3">
      <c r="A234" s="162">
        <v>3111504</v>
      </c>
      <c r="B234" s="467" t="s">
        <v>328</v>
      </c>
      <c r="C234" s="165">
        <v>0</v>
      </c>
      <c r="D234" s="166">
        <f t="shared" ref="D234:E236" si="13">C234*1.05</f>
        <v>0</v>
      </c>
      <c r="E234" s="166">
        <f t="shared" si="13"/>
        <v>0</v>
      </c>
    </row>
    <row r="235" spans="1:9" ht="15.65" x14ac:dyDescent="0.3">
      <c r="A235" s="162">
        <v>3110699</v>
      </c>
      <c r="B235" s="467" t="s">
        <v>329</v>
      </c>
      <c r="C235" s="165">
        <v>90000000</v>
      </c>
      <c r="D235" s="166">
        <f t="shared" si="13"/>
        <v>94500000</v>
      </c>
      <c r="E235" s="166">
        <f t="shared" si="13"/>
        <v>99225000</v>
      </c>
    </row>
    <row r="236" spans="1:9" ht="15.65" x14ac:dyDescent="0.3">
      <c r="A236" s="162">
        <v>3110599</v>
      </c>
      <c r="B236" s="467" t="s">
        <v>781</v>
      </c>
      <c r="C236" s="165">
        <v>0</v>
      </c>
      <c r="D236" s="166">
        <f t="shared" si="13"/>
        <v>0</v>
      </c>
      <c r="E236" s="166">
        <f t="shared" si="13"/>
        <v>0</v>
      </c>
    </row>
    <row r="237" spans="1:9" ht="15.65" x14ac:dyDescent="0.3">
      <c r="A237" s="162">
        <v>2410104</v>
      </c>
      <c r="B237" s="467" t="s">
        <v>68</v>
      </c>
      <c r="C237" s="165">
        <v>0</v>
      </c>
      <c r="D237" s="166">
        <f>C237*1.05</f>
        <v>0</v>
      </c>
      <c r="E237" s="166">
        <f>D237*1.05</f>
        <v>0</v>
      </c>
    </row>
    <row r="238" spans="1:9" ht="15.65" x14ac:dyDescent="0.3">
      <c r="A238" s="846" t="s">
        <v>95</v>
      </c>
      <c r="B238" s="847"/>
      <c r="C238" s="164">
        <f>SUM(C234:C237)</f>
        <v>90000000</v>
      </c>
      <c r="D238" s="164">
        <f>SUM(D234:D237)</f>
        <v>94500000</v>
      </c>
      <c r="E238" s="164">
        <f>SUM(E234:E237)</f>
        <v>99225000</v>
      </c>
    </row>
    <row r="239" spans="1:9" ht="15.65" x14ac:dyDescent="0.3">
      <c r="A239" s="846" t="s">
        <v>96</v>
      </c>
      <c r="B239" s="847"/>
      <c r="C239" s="175">
        <f>C231+C238</f>
        <v>99406356</v>
      </c>
      <c r="D239" s="175">
        <f>D231+D238</f>
        <v>104376673.8</v>
      </c>
      <c r="E239" s="175">
        <f>E231+E238</f>
        <v>108791079.39</v>
      </c>
    </row>
    <row r="240" spans="1:9" ht="16.25" x14ac:dyDescent="0.35">
      <c r="B240" s="739" t="s">
        <v>1277</v>
      </c>
      <c r="C240" s="742">
        <f>C239+C160+C81</f>
        <v>310569086.32999998</v>
      </c>
      <c r="D240" s="742">
        <f t="shared" ref="D240:E240" si="14">D239+D160+D81</f>
        <v>326097540.64649999</v>
      </c>
      <c r="E240" s="742">
        <f t="shared" si="14"/>
        <v>341597989.578825</v>
      </c>
    </row>
    <row r="241" spans="2:5" ht="16.25" x14ac:dyDescent="0.35">
      <c r="B241" s="739" t="s">
        <v>1279</v>
      </c>
      <c r="C241" s="743">
        <f>'Local Rev.'!D90+'Local Rev.'!D98</f>
        <v>292447849.72407109</v>
      </c>
      <c r="D241" s="741">
        <f t="shared" ref="D241" si="15">C241*1.05</f>
        <v>307070242.21027464</v>
      </c>
      <c r="E241" s="741">
        <f t="shared" ref="E241" si="16">D241*1.05</f>
        <v>322423754.32078838</v>
      </c>
    </row>
    <row r="242" spans="2:5" ht="16.25" x14ac:dyDescent="0.35">
      <c r="B242" s="739" t="s">
        <v>1278</v>
      </c>
      <c r="C242" s="742">
        <f>C240-C241</f>
        <v>18121236.605928898</v>
      </c>
      <c r="D242" s="742">
        <f t="shared" ref="D242:E242" si="17">D240-D241</f>
        <v>19027298.436225355</v>
      </c>
      <c r="E242" s="742">
        <f t="shared" si="17"/>
        <v>19174235.258036613</v>
      </c>
    </row>
  </sheetData>
  <mergeCells count="12">
    <mergeCell ref="A80:B80"/>
    <mergeCell ref="A159:B159"/>
    <mergeCell ref="A71:B71"/>
    <mergeCell ref="A73:B73"/>
    <mergeCell ref="A81:B81"/>
    <mergeCell ref="A153:B153"/>
    <mergeCell ref="A239:B239"/>
    <mergeCell ref="A155:B155"/>
    <mergeCell ref="A160:B160"/>
    <mergeCell ref="A231:B231"/>
    <mergeCell ref="A233:B233"/>
    <mergeCell ref="A238:B238"/>
  </mergeCells>
  <pageMargins left="0.7" right="0.7" top="0.75" bottom="0.75" header="0.3" footer="0.3"/>
  <pageSetup scale="80" orientation="portrait" r:id="rId1"/>
  <colBreaks count="1" manualBreakCount="1">
    <brk id="5" max="1048575" man="1"/>
  </colBreaks>
  <customProperties>
    <customPr name="LastActive" r:id="rId2"/>
  </customProperties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26"/>
  <sheetViews>
    <sheetView view="pageBreakPreview" topLeftCell="A296" zoomScale="60" zoomScaleNormal="120" workbookViewId="0">
      <selection activeCell="C325" sqref="C325"/>
    </sheetView>
  </sheetViews>
  <sheetFormatPr defaultColWidth="9.08984375" defaultRowHeight="15.5" x14ac:dyDescent="0.35"/>
  <cols>
    <col min="1" max="1" width="12.36328125" style="60" customWidth="1"/>
    <col min="2" max="2" width="50.81640625" style="60" customWidth="1"/>
    <col min="3" max="5" width="18.6328125" style="478" customWidth="1"/>
    <col min="6" max="6" width="12.54296875" style="6" bestFit="1" customWidth="1"/>
    <col min="7" max="16384" width="9.08984375" style="6"/>
  </cols>
  <sheetData>
    <row r="1" spans="1:5" ht="15.65" x14ac:dyDescent="0.3">
      <c r="A1" s="851" t="s">
        <v>671</v>
      </c>
      <c r="B1" s="851"/>
      <c r="C1" s="851"/>
      <c r="D1" s="473"/>
      <c r="E1" s="473"/>
    </row>
    <row r="2" spans="1:5" ht="16.25" thickBot="1" x14ac:dyDescent="0.35">
      <c r="A2" s="852" t="s">
        <v>938</v>
      </c>
      <c r="B2" s="852"/>
      <c r="C2" s="852"/>
      <c r="D2" s="473"/>
      <c r="E2" s="473"/>
    </row>
    <row r="3" spans="1:5" ht="47.4" thickBot="1" x14ac:dyDescent="0.35">
      <c r="A3" s="94" t="s">
        <v>0</v>
      </c>
      <c r="B3" s="529" t="s">
        <v>672</v>
      </c>
      <c r="C3" s="474" t="s">
        <v>482</v>
      </c>
      <c r="D3" s="474" t="s">
        <v>723</v>
      </c>
      <c r="E3" s="475" t="s">
        <v>939</v>
      </c>
    </row>
    <row r="4" spans="1:5" ht="15.65" x14ac:dyDescent="0.3">
      <c r="A4" s="95">
        <v>2110100</v>
      </c>
      <c r="B4" s="530" t="s">
        <v>1</v>
      </c>
      <c r="C4" s="96">
        <f>C5</f>
        <v>27177203</v>
      </c>
      <c r="D4" s="96">
        <f>D5</f>
        <v>28536063.150000002</v>
      </c>
      <c r="E4" s="96">
        <f>E5</f>
        <v>29962866.307500005</v>
      </c>
    </row>
    <row r="5" spans="1:5" ht="15.65" x14ac:dyDescent="0.3">
      <c r="A5" s="97" t="s">
        <v>98</v>
      </c>
      <c r="B5" s="531" t="s">
        <v>99</v>
      </c>
      <c r="C5" s="98">
        <v>27177203</v>
      </c>
      <c r="D5" s="98">
        <f t="shared" ref="D5:E8" si="0">1.05*C5</f>
        <v>28536063.150000002</v>
      </c>
      <c r="E5" s="98">
        <f t="shared" si="0"/>
        <v>29962866.307500005</v>
      </c>
    </row>
    <row r="6" spans="1:5" ht="15.65" x14ac:dyDescent="0.3">
      <c r="A6" s="95">
        <v>2210100</v>
      </c>
      <c r="B6" s="532" t="s">
        <v>23</v>
      </c>
      <c r="C6" s="96">
        <f>C7+C8</f>
        <v>120000</v>
      </c>
      <c r="D6" s="96">
        <f>D7+D8</f>
        <v>126000</v>
      </c>
      <c r="E6" s="96">
        <f>E7+E8</f>
        <v>132300</v>
      </c>
    </row>
    <row r="7" spans="1:5" ht="15.65" x14ac:dyDescent="0.3">
      <c r="A7" s="99" t="s">
        <v>101</v>
      </c>
      <c r="B7" s="70" t="s">
        <v>102</v>
      </c>
      <c r="C7" s="98">
        <v>84000</v>
      </c>
      <c r="D7" s="98">
        <f t="shared" si="0"/>
        <v>88200</v>
      </c>
      <c r="E7" s="98">
        <f t="shared" si="0"/>
        <v>92610</v>
      </c>
    </row>
    <row r="8" spans="1:5" ht="15.65" x14ac:dyDescent="0.3">
      <c r="A8" s="99" t="s">
        <v>103</v>
      </c>
      <c r="B8" s="70" t="s">
        <v>104</v>
      </c>
      <c r="C8" s="98">
        <v>36000</v>
      </c>
      <c r="D8" s="98">
        <f t="shared" si="0"/>
        <v>37800</v>
      </c>
      <c r="E8" s="98">
        <f t="shared" si="0"/>
        <v>39690</v>
      </c>
    </row>
    <row r="9" spans="1:5" ht="15.65" x14ac:dyDescent="0.3">
      <c r="A9" s="95">
        <v>2210200</v>
      </c>
      <c r="B9" s="532" t="s">
        <v>26</v>
      </c>
      <c r="C9" s="96">
        <f>C10+C11+C12</f>
        <v>649505</v>
      </c>
      <c r="D9" s="96">
        <f>D10+D11+D12</f>
        <v>681980.25</v>
      </c>
      <c r="E9" s="96">
        <f>E10+E11+E12</f>
        <v>716079.26249999995</v>
      </c>
    </row>
    <row r="10" spans="1:5" ht="15.65" x14ac:dyDescent="0.3">
      <c r="A10" s="99" t="s">
        <v>105</v>
      </c>
      <c r="B10" s="70" t="s">
        <v>106</v>
      </c>
      <c r="C10" s="98">
        <v>516000</v>
      </c>
      <c r="D10" s="98">
        <f t="shared" ref="D10:E12" si="1">1.05*C10</f>
        <v>541800</v>
      </c>
      <c r="E10" s="98">
        <f t="shared" si="1"/>
        <v>568890</v>
      </c>
    </row>
    <row r="11" spans="1:5" ht="15.65" x14ac:dyDescent="0.3">
      <c r="A11" s="99" t="s">
        <v>107</v>
      </c>
      <c r="B11" s="70" t="s">
        <v>108</v>
      </c>
      <c r="C11" s="98">
        <v>133505</v>
      </c>
      <c r="D11" s="98">
        <f t="shared" si="1"/>
        <v>140180.25</v>
      </c>
      <c r="E11" s="98">
        <f t="shared" si="1"/>
        <v>147189.26250000001</v>
      </c>
    </row>
    <row r="12" spans="1:5" ht="15.65" x14ac:dyDescent="0.3">
      <c r="A12" s="99" t="s">
        <v>109</v>
      </c>
      <c r="B12" s="70" t="s">
        <v>29</v>
      </c>
      <c r="C12" s="98">
        <v>0</v>
      </c>
      <c r="D12" s="98">
        <f t="shared" si="1"/>
        <v>0</v>
      </c>
      <c r="E12" s="98">
        <f t="shared" si="1"/>
        <v>0</v>
      </c>
    </row>
    <row r="13" spans="1:5" ht="15.65" x14ac:dyDescent="0.3">
      <c r="A13" s="95">
        <v>2210300</v>
      </c>
      <c r="B13" s="533" t="s">
        <v>30</v>
      </c>
      <c r="C13" s="96">
        <f>C14+C15+C16+C17+C18</f>
        <v>5498100</v>
      </c>
      <c r="D13" s="96">
        <f>D14+D15+D16+D17+D18</f>
        <v>5773005</v>
      </c>
      <c r="E13" s="96">
        <f>E14+E15+E16+E17+E18</f>
        <v>6061655.25</v>
      </c>
    </row>
    <row r="14" spans="1:5" ht="15.65" x14ac:dyDescent="0.3">
      <c r="A14" s="99" t="s">
        <v>110</v>
      </c>
      <c r="B14" s="70" t="s">
        <v>111</v>
      </c>
      <c r="C14" s="98">
        <v>398000</v>
      </c>
      <c r="D14" s="98">
        <f t="shared" ref="D14:E21" si="2">1.05*C14</f>
        <v>417900</v>
      </c>
      <c r="E14" s="98">
        <f t="shared" si="2"/>
        <v>438795</v>
      </c>
    </row>
    <row r="15" spans="1:5" ht="15.65" x14ac:dyDescent="0.3">
      <c r="A15" s="99" t="s">
        <v>112</v>
      </c>
      <c r="B15" s="70" t="s">
        <v>113</v>
      </c>
      <c r="C15" s="98">
        <v>0</v>
      </c>
      <c r="D15" s="98">
        <f t="shared" si="2"/>
        <v>0</v>
      </c>
      <c r="E15" s="98">
        <f t="shared" si="2"/>
        <v>0</v>
      </c>
    </row>
    <row r="16" spans="1:5" ht="15.65" x14ac:dyDescent="0.3">
      <c r="A16" s="99" t="s">
        <v>114</v>
      </c>
      <c r="B16" s="70" t="s">
        <v>115</v>
      </c>
      <c r="C16" s="98">
        <v>2011140</v>
      </c>
      <c r="D16" s="98">
        <f t="shared" si="2"/>
        <v>2111697</v>
      </c>
      <c r="E16" s="98">
        <f t="shared" si="2"/>
        <v>2217281.85</v>
      </c>
    </row>
    <row r="17" spans="1:5" ht="15.65" x14ac:dyDescent="0.3">
      <c r="A17" s="99" t="s">
        <v>33</v>
      </c>
      <c r="B17" s="70" t="s">
        <v>116</v>
      </c>
      <c r="C17" s="98">
        <v>1491560</v>
      </c>
      <c r="D17" s="98">
        <f t="shared" si="2"/>
        <v>1566138</v>
      </c>
      <c r="E17" s="98">
        <f t="shared" si="2"/>
        <v>1644444.9000000001</v>
      </c>
    </row>
    <row r="18" spans="1:5" ht="15.65" x14ac:dyDescent="0.3">
      <c r="A18" s="99">
        <v>2210310</v>
      </c>
      <c r="B18" s="70" t="s">
        <v>36</v>
      </c>
      <c r="C18" s="98">
        <v>1597400</v>
      </c>
      <c r="D18" s="98">
        <f t="shared" si="2"/>
        <v>1677270</v>
      </c>
      <c r="E18" s="98">
        <f t="shared" si="2"/>
        <v>1761133.5</v>
      </c>
    </row>
    <row r="19" spans="1:5" ht="15.65" x14ac:dyDescent="0.3">
      <c r="A19" s="100" t="s">
        <v>117</v>
      </c>
      <c r="B19" s="95" t="s">
        <v>118</v>
      </c>
      <c r="C19" s="96">
        <f>C20+C21</f>
        <v>0</v>
      </c>
      <c r="D19" s="98">
        <f t="shared" si="2"/>
        <v>0</v>
      </c>
      <c r="E19" s="98">
        <f t="shared" si="2"/>
        <v>0</v>
      </c>
    </row>
    <row r="20" spans="1:5" ht="15.65" x14ac:dyDescent="0.3">
      <c r="A20" s="101" t="s">
        <v>119</v>
      </c>
      <c r="B20" s="534" t="s">
        <v>120</v>
      </c>
      <c r="C20" s="98">
        <v>0</v>
      </c>
      <c r="D20" s="98">
        <f t="shared" si="2"/>
        <v>0</v>
      </c>
      <c r="E20" s="98">
        <f t="shared" si="2"/>
        <v>0</v>
      </c>
    </row>
    <row r="21" spans="1:5" ht="15.65" x14ac:dyDescent="0.3">
      <c r="A21" s="101" t="s">
        <v>121</v>
      </c>
      <c r="B21" s="534" t="s">
        <v>115</v>
      </c>
      <c r="C21" s="98">
        <v>0</v>
      </c>
      <c r="D21" s="98">
        <f t="shared" si="2"/>
        <v>0</v>
      </c>
      <c r="E21" s="98">
        <f t="shared" si="2"/>
        <v>0</v>
      </c>
    </row>
    <row r="22" spans="1:5" ht="15.65" x14ac:dyDescent="0.3">
      <c r="A22" s="95">
        <v>2210500</v>
      </c>
      <c r="B22" s="533" t="s">
        <v>38</v>
      </c>
      <c r="C22" s="96">
        <f>C23+C24+C25</f>
        <v>751495</v>
      </c>
      <c r="D22" s="96">
        <f>D23+D24+D25</f>
        <v>789069.75</v>
      </c>
      <c r="E22" s="96">
        <f>E23+E24+E25</f>
        <v>828523.23750000005</v>
      </c>
    </row>
    <row r="23" spans="1:5" ht="15.65" x14ac:dyDescent="0.3">
      <c r="A23" s="102">
        <v>2210502</v>
      </c>
      <c r="B23" s="535" t="s">
        <v>505</v>
      </c>
      <c r="C23" s="98">
        <v>0</v>
      </c>
      <c r="D23" s="98">
        <f t="shared" ref="D23:E25" si="3">1.05*C23</f>
        <v>0</v>
      </c>
      <c r="E23" s="98">
        <f t="shared" si="3"/>
        <v>0</v>
      </c>
    </row>
    <row r="24" spans="1:5" ht="15.65" x14ac:dyDescent="0.3">
      <c r="A24" s="99" t="s">
        <v>122</v>
      </c>
      <c r="B24" s="70" t="s">
        <v>123</v>
      </c>
      <c r="C24" s="98">
        <v>565600</v>
      </c>
      <c r="D24" s="98">
        <f t="shared" si="3"/>
        <v>593880</v>
      </c>
      <c r="E24" s="98">
        <f t="shared" si="3"/>
        <v>623574</v>
      </c>
    </row>
    <row r="25" spans="1:5" ht="15.65" x14ac:dyDescent="0.3">
      <c r="A25" s="99" t="s">
        <v>124</v>
      </c>
      <c r="B25" s="70" t="s">
        <v>125</v>
      </c>
      <c r="C25" s="98">
        <v>185895</v>
      </c>
      <c r="D25" s="98">
        <f t="shared" si="3"/>
        <v>195189.75</v>
      </c>
      <c r="E25" s="98">
        <f t="shared" si="3"/>
        <v>204949.23750000002</v>
      </c>
    </row>
    <row r="26" spans="1:5" ht="15.65" x14ac:dyDescent="0.3">
      <c r="A26" s="95">
        <v>2210700</v>
      </c>
      <c r="B26" s="533" t="s">
        <v>45</v>
      </c>
      <c r="C26" s="96">
        <f>C27+C28</f>
        <v>655000</v>
      </c>
      <c r="D26" s="96">
        <f>D27+D28</f>
        <v>687750</v>
      </c>
      <c r="E26" s="96">
        <f>E27+E28</f>
        <v>722137.5</v>
      </c>
    </row>
    <row r="27" spans="1:5" ht="15.65" x14ac:dyDescent="0.3">
      <c r="A27" s="99" t="s">
        <v>127</v>
      </c>
      <c r="B27" s="70" t="s">
        <v>128</v>
      </c>
      <c r="C27" s="98"/>
      <c r="D27" s="98">
        <f t="shared" ref="D27:E33" si="4">1.05*C27</f>
        <v>0</v>
      </c>
      <c r="E27" s="98">
        <f t="shared" si="4"/>
        <v>0</v>
      </c>
    </row>
    <row r="28" spans="1:5" ht="15.65" x14ac:dyDescent="0.3">
      <c r="A28" s="99" t="s">
        <v>129</v>
      </c>
      <c r="B28" s="70" t="s">
        <v>130</v>
      </c>
      <c r="C28" s="98">
        <v>655000</v>
      </c>
      <c r="D28" s="98">
        <f t="shared" si="4"/>
        <v>687750</v>
      </c>
      <c r="E28" s="98">
        <f t="shared" si="4"/>
        <v>722137.5</v>
      </c>
    </row>
    <row r="29" spans="1:5" ht="15.65" x14ac:dyDescent="0.3">
      <c r="A29" s="95">
        <v>2210800</v>
      </c>
      <c r="B29" s="533" t="s">
        <v>48</v>
      </c>
      <c r="C29" s="96">
        <f>C30+C31</f>
        <v>4064140</v>
      </c>
      <c r="D29" s="96">
        <f>D30+D31</f>
        <v>4267347</v>
      </c>
      <c r="E29" s="96">
        <f>E30+E31</f>
        <v>4480714.3499999996</v>
      </c>
    </row>
    <row r="30" spans="1:5" ht="15.65" x14ac:dyDescent="0.3">
      <c r="A30" s="99" t="s">
        <v>131</v>
      </c>
      <c r="B30" s="70" t="s">
        <v>132</v>
      </c>
      <c r="C30" s="98">
        <v>1011300</v>
      </c>
      <c r="D30" s="98">
        <f t="shared" si="4"/>
        <v>1061865</v>
      </c>
      <c r="E30" s="98">
        <f t="shared" si="4"/>
        <v>1114958.25</v>
      </c>
    </row>
    <row r="31" spans="1:5" ht="15.65" x14ac:dyDescent="0.3">
      <c r="A31" s="99" t="s">
        <v>133</v>
      </c>
      <c r="B31" s="70" t="s">
        <v>134</v>
      </c>
      <c r="C31" s="98">
        <v>3052840</v>
      </c>
      <c r="D31" s="98">
        <f t="shared" si="4"/>
        <v>3205482</v>
      </c>
      <c r="E31" s="98">
        <f t="shared" si="4"/>
        <v>3365756.1</v>
      </c>
    </row>
    <row r="32" spans="1:5" ht="15.65" x14ac:dyDescent="0.3">
      <c r="A32" s="103">
        <v>2210900</v>
      </c>
      <c r="B32" s="105" t="s">
        <v>136</v>
      </c>
      <c r="C32" s="96">
        <f>C33</f>
        <v>0</v>
      </c>
      <c r="D32" s="98">
        <f t="shared" si="4"/>
        <v>0</v>
      </c>
      <c r="E32" s="98">
        <f t="shared" si="4"/>
        <v>0</v>
      </c>
    </row>
    <row r="33" spans="1:5" ht="15.65" x14ac:dyDescent="0.3">
      <c r="A33" s="99" t="s">
        <v>166</v>
      </c>
      <c r="B33" s="70" t="s">
        <v>167</v>
      </c>
      <c r="C33" s="98">
        <v>0</v>
      </c>
      <c r="D33" s="98">
        <f t="shared" si="4"/>
        <v>0</v>
      </c>
      <c r="E33" s="98">
        <f t="shared" si="4"/>
        <v>0</v>
      </c>
    </row>
    <row r="34" spans="1:5" ht="15.65" x14ac:dyDescent="0.3">
      <c r="A34" s="95">
        <v>2211100</v>
      </c>
      <c r="B34" s="533" t="s">
        <v>56</v>
      </c>
      <c r="C34" s="96">
        <f>C35+C36+C37</f>
        <v>946250</v>
      </c>
      <c r="D34" s="96">
        <f>D35+D36+D37</f>
        <v>993562.5</v>
      </c>
      <c r="E34" s="96">
        <f>E35+E36+E37</f>
        <v>1043240.625</v>
      </c>
    </row>
    <row r="35" spans="1:5" ht="15.65" x14ac:dyDescent="0.3">
      <c r="A35" s="99" t="s">
        <v>138</v>
      </c>
      <c r="B35" s="70" t="s">
        <v>139</v>
      </c>
      <c r="C35" s="98">
        <f>446250-150000</f>
        <v>296250</v>
      </c>
      <c r="D35" s="98">
        <f t="shared" ref="D35:E37" si="5">1.05*C35</f>
        <v>311062.5</v>
      </c>
      <c r="E35" s="98">
        <f t="shared" si="5"/>
        <v>326615.625</v>
      </c>
    </row>
    <row r="36" spans="1:5" ht="15.65" x14ac:dyDescent="0.3">
      <c r="A36" s="99">
        <v>2211102</v>
      </c>
      <c r="B36" s="536" t="s">
        <v>58</v>
      </c>
      <c r="C36" s="98">
        <v>650000</v>
      </c>
      <c r="D36" s="98">
        <f t="shared" si="5"/>
        <v>682500</v>
      </c>
      <c r="E36" s="98">
        <f t="shared" si="5"/>
        <v>716625</v>
      </c>
    </row>
    <row r="37" spans="1:5" ht="15.65" x14ac:dyDescent="0.3">
      <c r="A37" s="99" t="s">
        <v>140</v>
      </c>
      <c r="B37" s="70" t="s">
        <v>141</v>
      </c>
      <c r="C37" s="98">
        <v>0</v>
      </c>
      <c r="D37" s="98">
        <f t="shared" si="5"/>
        <v>0</v>
      </c>
      <c r="E37" s="98">
        <f t="shared" si="5"/>
        <v>0</v>
      </c>
    </row>
    <row r="38" spans="1:5" ht="15.65" x14ac:dyDescent="0.3">
      <c r="A38" s="95">
        <v>2211200</v>
      </c>
      <c r="B38" s="533" t="s">
        <v>60</v>
      </c>
      <c r="C38" s="96">
        <f>C39</f>
        <v>1850400</v>
      </c>
      <c r="D38" s="96">
        <f>D39</f>
        <v>1942920</v>
      </c>
      <c r="E38" s="96">
        <f>E39</f>
        <v>2040066</v>
      </c>
    </row>
    <row r="39" spans="1:5" ht="15.65" x14ac:dyDescent="0.3">
      <c r="A39" s="99" t="s">
        <v>142</v>
      </c>
      <c r="B39" s="70" t="s">
        <v>143</v>
      </c>
      <c r="C39" s="98">
        <v>1850400</v>
      </c>
      <c r="D39" s="98">
        <f t="shared" ref="D39:E47" si="6">1.05*C39</f>
        <v>1942920</v>
      </c>
      <c r="E39" s="98">
        <f t="shared" si="6"/>
        <v>2040066</v>
      </c>
    </row>
    <row r="40" spans="1:5" ht="15.65" x14ac:dyDescent="0.3">
      <c r="A40" s="95">
        <v>2211300</v>
      </c>
      <c r="B40" s="533" t="s">
        <v>62</v>
      </c>
      <c r="C40" s="96">
        <f>C41+C42+C43+C44+C45+C47</f>
        <v>16141415</v>
      </c>
      <c r="D40" s="96">
        <f>D41+D42+D43+D44+D45+D47</f>
        <v>16948485.75</v>
      </c>
      <c r="E40" s="96">
        <f>E41+E42+E43+E44+E45+E47</f>
        <v>17795910.037500001</v>
      </c>
    </row>
    <row r="41" spans="1:5" ht="15.65" x14ac:dyDescent="0.3">
      <c r="A41" s="99" t="s">
        <v>144</v>
      </c>
      <c r="B41" s="70" t="s">
        <v>64</v>
      </c>
      <c r="C41" s="98">
        <v>0</v>
      </c>
      <c r="D41" s="98">
        <f t="shared" si="6"/>
        <v>0</v>
      </c>
      <c r="E41" s="98">
        <f t="shared" si="6"/>
        <v>0</v>
      </c>
    </row>
    <row r="42" spans="1:5" ht="15.65" x14ac:dyDescent="0.3">
      <c r="A42" s="99" t="s">
        <v>145</v>
      </c>
      <c r="B42" s="70" t="s">
        <v>146</v>
      </c>
      <c r="C42" s="98">
        <v>247700</v>
      </c>
      <c r="D42" s="98">
        <f t="shared" si="6"/>
        <v>260085</v>
      </c>
      <c r="E42" s="98">
        <f t="shared" si="6"/>
        <v>273089.25</v>
      </c>
    </row>
    <row r="43" spans="1:5" ht="15.65" x14ac:dyDescent="0.3">
      <c r="A43" s="99">
        <v>2211310</v>
      </c>
      <c r="B43" s="537" t="s">
        <v>534</v>
      </c>
      <c r="C43" s="191">
        <v>10000000</v>
      </c>
      <c r="D43" s="98">
        <f t="shared" si="6"/>
        <v>10500000</v>
      </c>
      <c r="E43" s="98">
        <f t="shared" si="6"/>
        <v>11025000</v>
      </c>
    </row>
    <row r="44" spans="1:5" ht="15.65" x14ac:dyDescent="0.3">
      <c r="A44" s="76">
        <v>2211324</v>
      </c>
      <c r="B44" s="69" t="s">
        <v>673</v>
      </c>
      <c r="C44" s="98">
        <v>4281327</v>
      </c>
      <c r="D44" s="98">
        <f t="shared" si="6"/>
        <v>4495393.3500000006</v>
      </c>
      <c r="E44" s="98">
        <f t="shared" si="6"/>
        <v>4720163.017500001</v>
      </c>
    </row>
    <row r="45" spans="1:5" ht="15.65" x14ac:dyDescent="0.3">
      <c r="A45" s="76">
        <v>2211320</v>
      </c>
      <c r="B45" s="69" t="s">
        <v>674</v>
      </c>
      <c r="C45" s="191">
        <f>2060800-987412</f>
        <v>1073388</v>
      </c>
      <c r="D45" s="98">
        <f t="shared" si="6"/>
        <v>1127057.4000000001</v>
      </c>
      <c r="E45" s="98">
        <f t="shared" si="6"/>
        <v>1183410.2700000003</v>
      </c>
    </row>
    <row r="46" spans="1:5" ht="15.65" x14ac:dyDescent="0.3">
      <c r="A46" s="76">
        <v>2210104</v>
      </c>
      <c r="B46" s="69" t="s">
        <v>93</v>
      </c>
      <c r="C46" s="191">
        <v>0</v>
      </c>
      <c r="D46" s="98">
        <f t="shared" si="6"/>
        <v>0</v>
      </c>
      <c r="E46" s="98">
        <f t="shared" si="6"/>
        <v>0</v>
      </c>
    </row>
    <row r="47" spans="1:5" ht="15.65" x14ac:dyDescent="0.3">
      <c r="A47" s="99">
        <v>2210904</v>
      </c>
      <c r="B47" s="538" t="s">
        <v>66</v>
      </c>
      <c r="C47" s="98">
        <v>539000</v>
      </c>
      <c r="D47" s="98">
        <f t="shared" si="6"/>
        <v>565950</v>
      </c>
      <c r="E47" s="98">
        <f t="shared" si="6"/>
        <v>594247.5</v>
      </c>
    </row>
    <row r="48" spans="1:5" ht="15.65" x14ac:dyDescent="0.3">
      <c r="A48" s="95">
        <v>2220100</v>
      </c>
      <c r="B48" s="533" t="s">
        <v>71</v>
      </c>
      <c r="C48" s="96">
        <f>C49</f>
        <v>1750000</v>
      </c>
      <c r="D48" s="96">
        <f>D49</f>
        <v>1837500</v>
      </c>
      <c r="E48" s="96">
        <f>E49</f>
        <v>1929375</v>
      </c>
    </row>
    <row r="49" spans="1:5" ht="15.65" x14ac:dyDescent="0.3">
      <c r="A49" s="99" t="s">
        <v>148</v>
      </c>
      <c r="B49" s="70" t="s">
        <v>72</v>
      </c>
      <c r="C49" s="98">
        <v>1750000</v>
      </c>
      <c r="D49" s="98">
        <f t="shared" ref="D49:E52" si="7">1.05*C49</f>
        <v>1837500</v>
      </c>
      <c r="E49" s="98">
        <f t="shared" si="7"/>
        <v>1929375</v>
      </c>
    </row>
    <row r="50" spans="1:5" ht="15.65" x14ac:dyDescent="0.3">
      <c r="A50" s="103">
        <v>2220200</v>
      </c>
      <c r="B50" s="539" t="s">
        <v>73</v>
      </c>
      <c r="C50" s="96">
        <f>C51+C52</f>
        <v>0</v>
      </c>
      <c r="D50" s="96">
        <f>D51+D52</f>
        <v>0</v>
      </c>
      <c r="E50" s="96">
        <f>E51+E52</f>
        <v>0</v>
      </c>
    </row>
    <row r="51" spans="1:5" ht="15.65" x14ac:dyDescent="0.3">
      <c r="A51" s="99">
        <v>2220201</v>
      </c>
      <c r="B51" s="537" t="s">
        <v>74</v>
      </c>
      <c r="C51" s="98">
        <v>0</v>
      </c>
      <c r="D51" s="98">
        <f t="shared" si="7"/>
        <v>0</v>
      </c>
      <c r="E51" s="98">
        <f t="shared" si="7"/>
        <v>0</v>
      </c>
    </row>
    <row r="52" spans="1:5" ht="15.65" x14ac:dyDescent="0.3">
      <c r="A52" s="99">
        <v>2220210</v>
      </c>
      <c r="B52" s="540" t="s">
        <v>77</v>
      </c>
      <c r="C52" s="98">
        <v>0</v>
      </c>
      <c r="D52" s="98">
        <f t="shared" si="7"/>
        <v>0</v>
      </c>
      <c r="E52" s="98">
        <f t="shared" si="7"/>
        <v>0</v>
      </c>
    </row>
    <row r="53" spans="1:5" ht="15.65" x14ac:dyDescent="0.3">
      <c r="A53" s="95">
        <v>3111000</v>
      </c>
      <c r="B53" s="533" t="s">
        <v>82</v>
      </c>
      <c r="C53" s="96">
        <f>C54+C55</f>
        <v>300000</v>
      </c>
      <c r="D53" s="96">
        <f>D54+D55</f>
        <v>315000</v>
      </c>
      <c r="E53" s="96">
        <f>E54+E55</f>
        <v>330750</v>
      </c>
    </row>
    <row r="54" spans="1:5" ht="15.65" x14ac:dyDescent="0.3">
      <c r="A54" s="99" t="s">
        <v>153</v>
      </c>
      <c r="B54" s="70" t="s">
        <v>83</v>
      </c>
      <c r="C54" s="98">
        <v>150000</v>
      </c>
      <c r="D54" s="98">
        <f>1.05*C54</f>
        <v>157500</v>
      </c>
      <c r="E54" s="98">
        <f t="shared" ref="E54:E58" si="8">1.05*D54</f>
        <v>165375</v>
      </c>
    </row>
    <row r="55" spans="1:5" ht="15.65" x14ac:dyDescent="0.3">
      <c r="A55" s="99">
        <v>3111002</v>
      </c>
      <c r="B55" s="540" t="s">
        <v>84</v>
      </c>
      <c r="C55" s="98">
        <v>150000</v>
      </c>
      <c r="D55" s="98">
        <f>1.05*C55</f>
        <v>157500</v>
      </c>
      <c r="E55" s="98">
        <f t="shared" si="8"/>
        <v>165375</v>
      </c>
    </row>
    <row r="56" spans="1:5" ht="15.65" x14ac:dyDescent="0.3">
      <c r="A56" s="103"/>
      <c r="B56" s="105" t="s">
        <v>156</v>
      </c>
      <c r="C56" s="96">
        <f>C53+C50+C48+C40+C38+C34+C32+C29+C26+C22+C19+C13+C9+C6+C4</f>
        <v>59903508</v>
      </c>
      <c r="D56" s="96">
        <f>D53+D50+D48+D40+D38+D34+D32+D29+D26+D22+D19+D13+D9+D6+D4</f>
        <v>62898683.400000006</v>
      </c>
      <c r="E56" s="96">
        <f>E53+E50+E48+E40+E38+E34+E32+E29+E26+E22+E19+E13+E9+E6+E4</f>
        <v>66043617.570000008</v>
      </c>
    </row>
    <row r="57" spans="1:5" ht="15.65" x14ac:dyDescent="0.3">
      <c r="A57" s="103"/>
      <c r="B57" s="105" t="s">
        <v>157</v>
      </c>
      <c r="C57" s="96">
        <v>6297097</v>
      </c>
      <c r="D57" s="104">
        <v>6611951.8499999996</v>
      </c>
      <c r="E57" s="98">
        <f t="shared" si="8"/>
        <v>6942549.4424999999</v>
      </c>
    </row>
    <row r="58" spans="1:5" ht="15.65" x14ac:dyDescent="0.3">
      <c r="A58" s="103"/>
      <c r="B58" s="105" t="s">
        <v>89</v>
      </c>
      <c r="C58" s="96">
        <v>38383204</v>
      </c>
      <c r="D58" s="104">
        <v>40302364.200000003</v>
      </c>
      <c r="E58" s="98">
        <f t="shared" si="8"/>
        <v>42317482.410000004</v>
      </c>
    </row>
    <row r="59" spans="1:5" ht="15.65" x14ac:dyDescent="0.3">
      <c r="A59" s="105" t="s">
        <v>158</v>
      </c>
      <c r="B59" s="70"/>
      <c r="C59" s="96">
        <v>0</v>
      </c>
      <c r="D59" s="106">
        <v>0</v>
      </c>
      <c r="E59" s="106">
        <v>0</v>
      </c>
    </row>
    <row r="60" spans="1:5" ht="15.65" x14ac:dyDescent="0.3">
      <c r="A60" s="99">
        <v>2210104</v>
      </c>
      <c r="B60" s="537" t="s">
        <v>147</v>
      </c>
      <c r="C60" s="191">
        <f>2441625/2</f>
        <v>1220812.5</v>
      </c>
      <c r="D60" s="106">
        <v>0</v>
      </c>
      <c r="E60" s="106">
        <v>0</v>
      </c>
    </row>
    <row r="61" spans="1:5" ht="15.65" x14ac:dyDescent="0.3">
      <c r="A61" s="170">
        <v>2211311</v>
      </c>
      <c r="B61" s="466" t="s">
        <v>92</v>
      </c>
      <c r="C61" s="98">
        <f>-329959.475+6599190</f>
        <v>6269230.5250000004</v>
      </c>
      <c r="D61" s="106">
        <f t="shared" ref="D61:E65" si="9">1.05*C61</f>
        <v>6582692.0512500005</v>
      </c>
      <c r="E61" s="106">
        <f t="shared" si="9"/>
        <v>6911826.6538125006</v>
      </c>
    </row>
    <row r="62" spans="1:5" ht="15.65" x14ac:dyDescent="0.3">
      <c r="A62" s="170">
        <v>3111114</v>
      </c>
      <c r="B62" s="466" t="s">
        <v>675</v>
      </c>
      <c r="C62" s="98">
        <f>-28500000+28500000</f>
        <v>0</v>
      </c>
      <c r="D62" s="106">
        <f t="shared" si="9"/>
        <v>0</v>
      </c>
      <c r="E62" s="106">
        <f t="shared" si="9"/>
        <v>0</v>
      </c>
    </row>
    <row r="63" spans="1:5" ht="15.65" x14ac:dyDescent="0.3">
      <c r="A63" s="170">
        <v>3110504</v>
      </c>
      <c r="B63" s="466" t="s">
        <v>526</v>
      </c>
      <c r="C63" s="98">
        <v>0</v>
      </c>
      <c r="D63" s="106">
        <f t="shared" si="9"/>
        <v>0</v>
      </c>
      <c r="E63" s="106">
        <f t="shared" si="9"/>
        <v>0</v>
      </c>
    </row>
    <row r="64" spans="1:5" ht="15.65" x14ac:dyDescent="0.3">
      <c r="A64" s="170">
        <v>3130101</v>
      </c>
      <c r="B64" s="466" t="s">
        <v>781</v>
      </c>
      <c r="C64" s="98">
        <v>0</v>
      </c>
      <c r="D64" s="106">
        <f t="shared" si="9"/>
        <v>0</v>
      </c>
      <c r="E64" s="106">
        <f t="shared" si="9"/>
        <v>0</v>
      </c>
    </row>
    <row r="65" spans="1:5" ht="15.65" x14ac:dyDescent="0.3">
      <c r="A65" s="170">
        <v>3110599</v>
      </c>
      <c r="B65" s="466" t="s">
        <v>94</v>
      </c>
      <c r="C65" s="98">
        <v>0</v>
      </c>
      <c r="D65" s="106">
        <f t="shared" si="9"/>
        <v>0</v>
      </c>
      <c r="E65" s="106">
        <f t="shared" si="9"/>
        <v>0</v>
      </c>
    </row>
    <row r="66" spans="1:5" ht="15.65" x14ac:dyDescent="0.3">
      <c r="A66" s="476"/>
      <c r="B66" s="477" t="s">
        <v>160</v>
      </c>
      <c r="C66" s="104">
        <f>SUM(C60:C65)</f>
        <v>7490043.0250000004</v>
      </c>
      <c r="D66" s="104">
        <f>SUM(D60:D65)</f>
        <v>6582692.0512500005</v>
      </c>
      <c r="E66" s="104">
        <f>SUM(E60:E65)</f>
        <v>6911826.6538125006</v>
      </c>
    </row>
    <row r="67" spans="1:5" ht="15.65" x14ac:dyDescent="0.3">
      <c r="A67" s="476"/>
      <c r="B67" s="477" t="s">
        <v>161</v>
      </c>
      <c r="C67" s="104">
        <f>C66+C56</f>
        <v>67393551.025000006</v>
      </c>
      <c r="D67" s="104">
        <f>D66+D56</f>
        <v>69481375.451250002</v>
      </c>
      <c r="E67" s="104">
        <f>E66+E56</f>
        <v>72955444.223812506</v>
      </c>
    </row>
    <row r="68" spans="1:5" ht="16.25" thickBot="1" x14ac:dyDescent="0.35"/>
    <row r="69" spans="1:5" ht="47.4" thickBot="1" x14ac:dyDescent="0.35">
      <c r="A69" s="107" t="s">
        <v>0</v>
      </c>
      <c r="B69" s="64" t="s">
        <v>728</v>
      </c>
      <c r="C69" s="474" t="s">
        <v>482</v>
      </c>
      <c r="D69" s="474" t="s">
        <v>723</v>
      </c>
      <c r="E69" s="475" t="s">
        <v>939</v>
      </c>
    </row>
    <row r="70" spans="1:5" ht="15.65" x14ac:dyDescent="0.3">
      <c r="A70" s="108">
        <v>2110100</v>
      </c>
      <c r="B70" s="64" t="s">
        <v>1</v>
      </c>
      <c r="C70" s="109">
        <f>C71</f>
        <v>11414925</v>
      </c>
      <c r="D70" s="109">
        <f>D71</f>
        <v>11985671.25</v>
      </c>
      <c r="E70" s="109">
        <f>E71</f>
        <v>12584954.8125</v>
      </c>
    </row>
    <row r="71" spans="1:5" ht="15.65" x14ac:dyDescent="0.3">
      <c r="A71" s="110" t="s">
        <v>98</v>
      </c>
      <c r="B71" s="71" t="s">
        <v>99</v>
      </c>
      <c r="C71" s="111">
        <v>11414925</v>
      </c>
      <c r="D71" s="479">
        <f t="shared" ref="D71:E74" si="10">1.05*C71</f>
        <v>11985671.25</v>
      </c>
      <c r="E71" s="479">
        <f t="shared" si="10"/>
        <v>12584954.8125</v>
      </c>
    </row>
    <row r="72" spans="1:5" ht="15.65" x14ac:dyDescent="0.3">
      <c r="A72" s="108">
        <v>2210100</v>
      </c>
      <c r="B72" s="541" t="s">
        <v>23</v>
      </c>
      <c r="C72" s="109">
        <f>SUM(C73:C74)</f>
        <v>87000</v>
      </c>
      <c r="D72" s="109">
        <f>SUM(D73:D74)</f>
        <v>91350</v>
      </c>
      <c r="E72" s="109">
        <f>SUM(E73:E74)</f>
        <v>95917.5</v>
      </c>
    </row>
    <row r="73" spans="1:5" ht="15.65" x14ac:dyDescent="0.3">
      <c r="A73" s="110" t="s">
        <v>101</v>
      </c>
      <c r="B73" s="71" t="s">
        <v>102</v>
      </c>
      <c r="C73" s="111">
        <v>52000</v>
      </c>
      <c r="D73" s="479">
        <f t="shared" si="10"/>
        <v>54600</v>
      </c>
      <c r="E73" s="479">
        <f t="shared" si="10"/>
        <v>57330</v>
      </c>
    </row>
    <row r="74" spans="1:5" ht="15.65" x14ac:dyDescent="0.3">
      <c r="A74" s="110" t="s">
        <v>103</v>
      </c>
      <c r="B74" s="71" t="s">
        <v>104</v>
      </c>
      <c r="C74" s="111">
        <v>35000</v>
      </c>
      <c r="D74" s="479">
        <f t="shared" si="10"/>
        <v>36750</v>
      </c>
      <c r="E74" s="479">
        <f t="shared" si="10"/>
        <v>38587.5</v>
      </c>
    </row>
    <row r="75" spans="1:5" ht="15.65" x14ac:dyDescent="0.3">
      <c r="A75" s="108">
        <v>2210200</v>
      </c>
      <c r="B75" s="541" t="s">
        <v>26</v>
      </c>
      <c r="C75" s="109">
        <f>SUM(C76:C78)</f>
        <v>276000</v>
      </c>
      <c r="D75" s="109">
        <f>SUM(D76:D78)</f>
        <v>289800</v>
      </c>
      <c r="E75" s="109">
        <f>SUM(E76:E78)</f>
        <v>304290</v>
      </c>
    </row>
    <row r="76" spans="1:5" ht="15.65" x14ac:dyDescent="0.3">
      <c r="A76" s="110" t="s">
        <v>105</v>
      </c>
      <c r="B76" s="71" t="s">
        <v>106</v>
      </c>
      <c r="C76" s="111">
        <v>276000</v>
      </c>
      <c r="D76" s="479">
        <f t="shared" ref="D76:E78" si="11">1.05*C76</f>
        <v>289800</v>
      </c>
      <c r="E76" s="479">
        <f t="shared" si="11"/>
        <v>304290</v>
      </c>
    </row>
    <row r="77" spans="1:5" ht="15.65" x14ac:dyDescent="0.3">
      <c r="A77" s="110" t="s">
        <v>107</v>
      </c>
      <c r="B77" s="71" t="s">
        <v>108</v>
      </c>
      <c r="C77" s="111">
        <v>0</v>
      </c>
      <c r="D77" s="479">
        <f t="shared" si="11"/>
        <v>0</v>
      </c>
      <c r="E77" s="479">
        <f t="shared" si="11"/>
        <v>0</v>
      </c>
    </row>
    <row r="78" spans="1:5" ht="15.65" x14ac:dyDescent="0.3">
      <c r="A78" s="110" t="s">
        <v>109</v>
      </c>
      <c r="B78" s="71" t="s">
        <v>29</v>
      </c>
      <c r="C78" s="111">
        <v>0</v>
      </c>
      <c r="D78" s="479">
        <f t="shared" si="11"/>
        <v>0</v>
      </c>
      <c r="E78" s="479">
        <f t="shared" si="11"/>
        <v>0</v>
      </c>
    </row>
    <row r="79" spans="1:5" ht="15.65" x14ac:dyDescent="0.3">
      <c r="A79" s="108">
        <v>2210300</v>
      </c>
      <c r="B79" s="542" t="s">
        <v>30</v>
      </c>
      <c r="C79" s="109">
        <f>SUM(C80:C84)</f>
        <v>2556525</v>
      </c>
      <c r="D79" s="109">
        <f>SUM(D80:D84)</f>
        <v>2684351.25</v>
      </c>
      <c r="E79" s="109">
        <f>SUM(E80:E84)</f>
        <v>2818568.8125</v>
      </c>
    </row>
    <row r="80" spans="1:5" ht="15.65" x14ac:dyDescent="0.3">
      <c r="A80" s="110" t="s">
        <v>110</v>
      </c>
      <c r="B80" s="71" t="s">
        <v>111</v>
      </c>
      <c r="C80" s="111">
        <v>200000</v>
      </c>
      <c r="D80" s="479">
        <f t="shared" ref="D80:E84" si="12">1.05*C80</f>
        <v>210000</v>
      </c>
      <c r="E80" s="479">
        <f t="shared" si="12"/>
        <v>220500</v>
      </c>
    </row>
    <row r="81" spans="1:5" ht="15.65" x14ac:dyDescent="0.3">
      <c r="A81" s="110" t="s">
        <v>112</v>
      </c>
      <c r="B81" s="71" t="s">
        <v>113</v>
      </c>
      <c r="C81" s="111">
        <v>0</v>
      </c>
      <c r="D81" s="479">
        <f t="shared" si="12"/>
        <v>0</v>
      </c>
      <c r="E81" s="479">
        <f t="shared" si="12"/>
        <v>0</v>
      </c>
    </row>
    <row r="82" spans="1:5" ht="15.65" x14ac:dyDescent="0.3">
      <c r="A82" s="110" t="s">
        <v>114</v>
      </c>
      <c r="B82" s="71" t="s">
        <v>115</v>
      </c>
      <c r="C82" s="111">
        <v>1281465</v>
      </c>
      <c r="D82" s="479">
        <f t="shared" si="12"/>
        <v>1345538.25</v>
      </c>
      <c r="E82" s="479">
        <f t="shared" si="12"/>
        <v>1412815.1625000001</v>
      </c>
    </row>
    <row r="83" spans="1:5" ht="15.65" x14ac:dyDescent="0.3">
      <c r="A83" s="110" t="s">
        <v>33</v>
      </c>
      <c r="B83" s="71" t="s">
        <v>116</v>
      </c>
      <c r="C83" s="111">
        <v>599760</v>
      </c>
      <c r="D83" s="479">
        <f t="shared" si="12"/>
        <v>629748</v>
      </c>
      <c r="E83" s="479">
        <f t="shared" si="12"/>
        <v>661235.4</v>
      </c>
    </row>
    <row r="84" spans="1:5" ht="15.65" x14ac:dyDescent="0.3">
      <c r="A84" s="110">
        <v>2210310</v>
      </c>
      <c r="B84" s="71" t="s">
        <v>36</v>
      </c>
      <c r="C84" s="111">
        <v>475300</v>
      </c>
      <c r="D84" s="479">
        <f t="shared" si="12"/>
        <v>499065</v>
      </c>
      <c r="E84" s="479">
        <f t="shared" si="12"/>
        <v>524018.25</v>
      </c>
    </row>
    <row r="85" spans="1:5" ht="15.65" x14ac:dyDescent="0.3">
      <c r="A85" s="112" t="s">
        <v>117</v>
      </c>
      <c r="B85" s="108" t="s">
        <v>118</v>
      </c>
      <c r="C85" s="109">
        <v>0</v>
      </c>
      <c r="D85" s="109">
        <f>SUM(D86:D87)</f>
        <v>0</v>
      </c>
      <c r="E85" s="109">
        <f>SUM(E86:E87)</f>
        <v>0</v>
      </c>
    </row>
    <row r="86" spans="1:5" ht="15.65" x14ac:dyDescent="0.3">
      <c r="A86" s="113" t="s">
        <v>119</v>
      </c>
      <c r="B86" s="543" t="s">
        <v>120</v>
      </c>
      <c r="C86" s="111">
        <v>0</v>
      </c>
      <c r="D86" s="479">
        <f t="shared" ref="D86:E90" si="13">1.05*C86</f>
        <v>0</v>
      </c>
      <c r="E86" s="479">
        <f t="shared" si="13"/>
        <v>0</v>
      </c>
    </row>
    <row r="87" spans="1:5" ht="15.65" x14ac:dyDescent="0.3">
      <c r="A87" s="113" t="s">
        <v>121</v>
      </c>
      <c r="B87" s="543" t="s">
        <v>115</v>
      </c>
      <c r="C87" s="111">
        <v>0</v>
      </c>
      <c r="D87" s="479">
        <f t="shared" si="13"/>
        <v>0</v>
      </c>
      <c r="E87" s="479">
        <f t="shared" si="13"/>
        <v>0</v>
      </c>
    </row>
    <row r="88" spans="1:5" ht="15.65" x14ac:dyDescent="0.3">
      <c r="A88" s="108">
        <v>2210500</v>
      </c>
      <c r="B88" s="542" t="s">
        <v>38</v>
      </c>
      <c r="C88" s="109">
        <v>0</v>
      </c>
      <c r="D88" s="109">
        <f>SUM(D89:D90)</f>
        <v>0</v>
      </c>
      <c r="E88" s="109">
        <f>SUM(E89:E90)</f>
        <v>0</v>
      </c>
    </row>
    <row r="89" spans="1:5" ht="15.65" x14ac:dyDescent="0.3">
      <c r="A89" s="110" t="s">
        <v>122</v>
      </c>
      <c r="B89" s="71" t="s">
        <v>123</v>
      </c>
      <c r="C89" s="111">
        <v>0</v>
      </c>
      <c r="D89" s="479">
        <f t="shared" si="13"/>
        <v>0</v>
      </c>
      <c r="E89" s="479">
        <f t="shared" si="13"/>
        <v>0</v>
      </c>
    </row>
    <row r="90" spans="1:5" ht="15.65" x14ac:dyDescent="0.3">
      <c r="A90" s="110" t="s">
        <v>124</v>
      </c>
      <c r="B90" s="71" t="s">
        <v>125</v>
      </c>
      <c r="C90" s="111">
        <v>0</v>
      </c>
      <c r="D90" s="479">
        <f t="shared" si="13"/>
        <v>0</v>
      </c>
      <c r="E90" s="479">
        <f t="shared" si="13"/>
        <v>0</v>
      </c>
    </row>
    <row r="91" spans="1:5" ht="15.65" x14ac:dyDescent="0.3">
      <c r="A91" s="108">
        <v>2210700</v>
      </c>
      <c r="B91" s="542" t="s">
        <v>45</v>
      </c>
      <c r="C91" s="109">
        <f>SUM(C92:C94)</f>
        <v>274396</v>
      </c>
      <c r="D91" s="109">
        <f>SUM(D92:D94)</f>
        <v>288115.8</v>
      </c>
      <c r="E91" s="109">
        <f>SUM(E92:E94)</f>
        <v>302521.59000000003</v>
      </c>
    </row>
    <row r="92" spans="1:5" ht="15.65" x14ac:dyDescent="0.3">
      <c r="A92" s="110" t="s">
        <v>127</v>
      </c>
      <c r="B92" s="71" t="s">
        <v>128</v>
      </c>
      <c r="C92" s="98"/>
      <c r="D92" s="479">
        <f t="shared" ref="D92:E94" si="14">1.05*C92</f>
        <v>0</v>
      </c>
      <c r="E92" s="479">
        <f t="shared" si="14"/>
        <v>0</v>
      </c>
    </row>
    <row r="93" spans="1:5" ht="15.65" x14ac:dyDescent="0.3">
      <c r="A93" s="110">
        <v>2210705</v>
      </c>
      <c r="B93" s="71" t="s">
        <v>729</v>
      </c>
      <c r="C93" s="98"/>
      <c r="D93" s="479">
        <f t="shared" si="14"/>
        <v>0</v>
      </c>
      <c r="E93" s="479">
        <f t="shared" si="14"/>
        <v>0</v>
      </c>
    </row>
    <row r="94" spans="1:5" ht="15.65" x14ac:dyDescent="0.3">
      <c r="A94" s="110" t="s">
        <v>129</v>
      </c>
      <c r="B94" s="71" t="s">
        <v>130</v>
      </c>
      <c r="C94" s="98">
        <v>274396</v>
      </c>
      <c r="D94" s="479">
        <f t="shared" si="14"/>
        <v>288115.8</v>
      </c>
      <c r="E94" s="479">
        <f t="shared" si="14"/>
        <v>302521.59000000003</v>
      </c>
    </row>
    <row r="95" spans="1:5" ht="15.65" x14ac:dyDescent="0.3">
      <c r="A95" s="108">
        <v>2210800</v>
      </c>
      <c r="B95" s="542" t="s">
        <v>48</v>
      </c>
      <c r="C95" s="109">
        <f>SUM(C96:C97)</f>
        <v>2137641</v>
      </c>
      <c r="D95" s="109">
        <f>SUM(D96:D97)</f>
        <v>2244523.0499999998</v>
      </c>
      <c r="E95" s="109">
        <f>SUM(E96:E97)</f>
        <v>2356749.2025000001</v>
      </c>
    </row>
    <row r="96" spans="1:5" ht="15.65" x14ac:dyDescent="0.3">
      <c r="A96" s="110" t="s">
        <v>131</v>
      </c>
      <c r="B96" s="71" t="s">
        <v>132</v>
      </c>
      <c r="C96" s="111">
        <v>654900</v>
      </c>
      <c r="D96" s="479">
        <f t="shared" ref="D96:E99" si="15">1.05*C96</f>
        <v>687645</v>
      </c>
      <c r="E96" s="479">
        <f t="shared" si="15"/>
        <v>722027.25</v>
      </c>
    </row>
    <row r="97" spans="1:5" ht="15.65" x14ac:dyDescent="0.3">
      <c r="A97" s="110" t="s">
        <v>133</v>
      </c>
      <c r="B97" s="71" t="s">
        <v>134</v>
      </c>
      <c r="C97" s="111">
        <v>1482741</v>
      </c>
      <c r="D97" s="479">
        <f t="shared" si="15"/>
        <v>1556878.05</v>
      </c>
      <c r="E97" s="479">
        <f t="shared" si="15"/>
        <v>1634721.9525000001</v>
      </c>
    </row>
    <row r="98" spans="1:5" ht="15.65" x14ac:dyDescent="0.3">
      <c r="A98" s="114">
        <v>2210900</v>
      </c>
      <c r="B98" s="117" t="s">
        <v>136</v>
      </c>
      <c r="C98" s="109">
        <v>0</v>
      </c>
      <c r="D98" s="479">
        <f t="shared" si="15"/>
        <v>0</v>
      </c>
      <c r="E98" s="479">
        <f t="shared" si="15"/>
        <v>0</v>
      </c>
    </row>
    <row r="99" spans="1:5" ht="15.65" x14ac:dyDescent="0.3">
      <c r="A99" s="110" t="s">
        <v>166</v>
      </c>
      <c r="B99" s="71" t="s">
        <v>167</v>
      </c>
      <c r="C99" s="111">
        <v>0</v>
      </c>
      <c r="D99" s="479">
        <f t="shared" si="15"/>
        <v>0</v>
      </c>
      <c r="E99" s="479">
        <f t="shared" si="15"/>
        <v>0</v>
      </c>
    </row>
    <row r="100" spans="1:5" ht="15.65" x14ac:dyDescent="0.3">
      <c r="A100" s="108">
        <v>2211100</v>
      </c>
      <c r="B100" s="542" t="s">
        <v>56</v>
      </c>
      <c r="C100" s="109">
        <f>SUM(C101:C103)</f>
        <v>330900</v>
      </c>
      <c r="D100" s="109">
        <f>SUM(D101:D103)</f>
        <v>347445</v>
      </c>
      <c r="E100" s="109">
        <f>SUM(E101:E103)</f>
        <v>364817.25</v>
      </c>
    </row>
    <row r="101" spans="1:5" ht="15.65" x14ac:dyDescent="0.3">
      <c r="A101" s="110" t="s">
        <v>138</v>
      </c>
      <c r="B101" s="71" t="s">
        <v>139</v>
      </c>
      <c r="C101" s="111">
        <v>151900</v>
      </c>
      <c r="D101" s="479">
        <f t="shared" ref="D101:E103" si="16">1.05*C101</f>
        <v>159495</v>
      </c>
      <c r="E101" s="479">
        <f t="shared" si="16"/>
        <v>167469.75</v>
      </c>
    </row>
    <row r="102" spans="1:5" ht="15.65" x14ac:dyDescent="0.3">
      <c r="A102" s="71">
        <v>2211102</v>
      </c>
      <c r="B102" s="71" t="s">
        <v>730</v>
      </c>
      <c r="C102" s="111">
        <v>179000</v>
      </c>
      <c r="D102" s="479">
        <f t="shared" si="16"/>
        <v>187950</v>
      </c>
      <c r="E102" s="479">
        <f t="shared" si="16"/>
        <v>197347.5</v>
      </c>
    </row>
    <row r="103" spans="1:5" ht="15.65" x14ac:dyDescent="0.3">
      <c r="A103" s="110" t="s">
        <v>140</v>
      </c>
      <c r="B103" s="71" t="s">
        <v>141</v>
      </c>
      <c r="C103" s="111">
        <v>0</v>
      </c>
      <c r="D103" s="479">
        <f t="shared" si="16"/>
        <v>0</v>
      </c>
      <c r="E103" s="479">
        <f t="shared" si="16"/>
        <v>0</v>
      </c>
    </row>
    <row r="104" spans="1:5" ht="15.65" x14ac:dyDescent="0.3">
      <c r="A104" s="108">
        <v>2211200</v>
      </c>
      <c r="B104" s="542" t="s">
        <v>60</v>
      </c>
      <c r="C104" s="109">
        <f>C105</f>
        <v>552000</v>
      </c>
      <c r="D104" s="109">
        <f>D105</f>
        <v>579600</v>
      </c>
      <c r="E104" s="109">
        <f>E105</f>
        <v>608580</v>
      </c>
    </row>
    <row r="105" spans="1:5" ht="15.65" x14ac:dyDescent="0.3">
      <c r="A105" s="110" t="s">
        <v>142</v>
      </c>
      <c r="B105" s="71" t="s">
        <v>143</v>
      </c>
      <c r="C105" s="111">
        <v>552000</v>
      </c>
      <c r="D105" s="479">
        <f t="shared" ref="D105:E112" si="17">1.05*C105</f>
        <v>579600</v>
      </c>
      <c r="E105" s="479">
        <f t="shared" si="17"/>
        <v>608580</v>
      </c>
    </row>
    <row r="106" spans="1:5" ht="15.65" x14ac:dyDescent="0.3">
      <c r="A106" s="108">
        <v>2211300</v>
      </c>
      <c r="B106" s="542" t="s">
        <v>62</v>
      </c>
      <c r="C106" s="109">
        <f>SUM(C107:C112)</f>
        <v>20191200</v>
      </c>
      <c r="D106" s="109">
        <f>SUM(D107:D112)</f>
        <v>21200760</v>
      </c>
      <c r="E106" s="109">
        <f>SUM(E107:E112)</f>
        <v>22260798</v>
      </c>
    </row>
    <row r="107" spans="1:5" ht="15.65" x14ac:dyDescent="0.3">
      <c r="A107" s="110" t="s">
        <v>144</v>
      </c>
      <c r="B107" s="71" t="s">
        <v>64</v>
      </c>
      <c r="C107" s="111">
        <v>0</v>
      </c>
      <c r="D107" s="479">
        <f t="shared" si="17"/>
        <v>0</v>
      </c>
      <c r="E107" s="479">
        <f t="shared" si="17"/>
        <v>0</v>
      </c>
    </row>
    <row r="108" spans="1:5" ht="15.65" x14ac:dyDescent="0.3">
      <c r="A108" s="110" t="s">
        <v>145</v>
      </c>
      <c r="B108" s="71" t="s">
        <v>146</v>
      </c>
      <c r="C108" s="111">
        <v>71200</v>
      </c>
      <c r="D108" s="479">
        <f t="shared" si="17"/>
        <v>74760</v>
      </c>
      <c r="E108" s="479">
        <f t="shared" si="17"/>
        <v>78498</v>
      </c>
    </row>
    <row r="109" spans="1:5" ht="15.65" x14ac:dyDescent="0.3">
      <c r="A109" s="110">
        <v>2211310</v>
      </c>
      <c r="B109" s="71" t="s">
        <v>534</v>
      </c>
      <c r="C109" s="111"/>
      <c r="D109" s="479">
        <f t="shared" si="17"/>
        <v>0</v>
      </c>
      <c r="E109" s="479">
        <f t="shared" si="17"/>
        <v>0</v>
      </c>
    </row>
    <row r="110" spans="1:5" ht="15.65" x14ac:dyDescent="0.3">
      <c r="A110" s="76">
        <v>2211320</v>
      </c>
      <c r="B110" s="69" t="s">
        <v>674</v>
      </c>
      <c r="C110" s="115">
        <v>0</v>
      </c>
      <c r="D110" s="479">
        <f t="shared" si="17"/>
        <v>0</v>
      </c>
      <c r="E110" s="479">
        <f t="shared" si="17"/>
        <v>0</v>
      </c>
    </row>
    <row r="111" spans="1:5" ht="15.65" x14ac:dyDescent="0.3">
      <c r="A111" s="116" t="s">
        <v>734</v>
      </c>
      <c r="B111" s="71" t="s">
        <v>1222</v>
      </c>
      <c r="C111" s="663">
        <f>20000000</f>
        <v>20000000</v>
      </c>
      <c r="D111" s="479">
        <f t="shared" si="17"/>
        <v>21000000</v>
      </c>
      <c r="E111" s="479">
        <f t="shared" si="17"/>
        <v>22050000</v>
      </c>
    </row>
    <row r="112" spans="1:5" ht="15.65" x14ac:dyDescent="0.3">
      <c r="A112" s="110">
        <v>2210904</v>
      </c>
      <c r="B112" s="71" t="s">
        <v>137</v>
      </c>
      <c r="C112" s="111">
        <v>120000</v>
      </c>
      <c r="D112" s="479">
        <f t="shared" si="17"/>
        <v>126000</v>
      </c>
      <c r="E112" s="479">
        <f t="shared" si="17"/>
        <v>132300</v>
      </c>
    </row>
    <row r="113" spans="1:5" ht="15.65" x14ac:dyDescent="0.3">
      <c r="A113" s="108">
        <v>2220100</v>
      </c>
      <c r="B113" s="542" t="s">
        <v>71</v>
      </c>
      <c r="C113" s="109">
        <f>C114</f>
        <v>350000</v>
      </c>
      <c r="D113" s="109">
        <f>D114</f>
        <v>367500</v>
      </c>
      <c r="E113" s="109">
        <f>E114</f>
        <v>385875</v>
      </c>
    </row>
    <row r="114" spans="1:5" ht="15.65" x14ac:dyDescent="0.3">
      <c r="A114" s="110" t="s">
        <v>148</v>
      </c>
      <c r="B114" s="71" t="s">
        <v>72</v>
      </c>
      <c r="C114" s="111">
        <v>350000</v>
      </c>
      <c r="D114" s="479">
        <f t="shared" ref="D114:E119" si="18">1.05*C114</f>
        <v>367500</v>
      </c>
      <c r="E114" s="479">
        <f t="shared" si="18"/>
        <v>385875</v>
      </c>
    </row>
    <row r="115" spans="1:5" ht="15.65" x14ac:dyDescent="0.3">
      <c r="A115" s="114">
        <v>2220200</v>
      </c>
      <c r="B115" s="117" t="s">
        <v>73</v>
      </c>
      <c r="C115" s="109">
        <f>SUM(C116:C119)</f>
        <v>500000</v>
      </c>
      <c r="D115" s="109">
        <f>SUM(D116:D119)</f>
        <v>525000</v>
      </c>
      <c r="E115" s="109">
        <f>SUM(E116:E119)</f>
        <v>551250</v>
      </c>
    </row>
    <row r="116" spans="1:5" ht="15.65" x14ac:dyDescent="0.3">
      <c r="A116" s="110">
        <v>2220201</v>
      </c>
      <c r="B116" s="71" t="s">
        <v>74</v>
      </c>
      <c r="C116" s="111">
        <v>0</v>
      </c>
      <c r="D116" s="479">
        <f t="shared" si="18"/>
        <v>0</v>
      </c>
      <c r="E116" s="479">
        <f t="shared" si="18"/>
        <v>0</v>
      </c>
    </row>
    <row r="117" spans="1:5" ht="15.65" x14ac:dyDescent="0.3">
      <c r="A117" s="110">
        <v>2220202</v>
      </c>
      <c r="B117" s="71" t="s">
        <v>731</v>
      </c>
      <c r="C117" s="111">
        <v>0</v>
      </c>
      <c r="D117" s="479">
        <f t="shared" si="18"/>
        <v>0</v>
      </c>
      <c r="E117" s="479">
        <f t="shared" si="18"/>
        <v>0</v>
      </c>
    </row>
    <row r="118" spans="1:5" ht="15.65" x14ac:dyDescent="0.3">
      <c r="A118" s="110">
        <v>2220210</v>
      </c>
      <c r="B118" s="544" t="s">
        <v>77</v>
      </c>
      <c r="C118" s="111">
        <v>0</v>
      </c>
      <c r="D118" s="479">
        <f t="shared" si="18"/>
        <v>0</v>
      </c>
      <c r="E118" s="479">
        <f t="shared" si="18"/>
        <v>0</v>
      </c>
    </row>
    <row r="119" spans="1:5" ht="15.65" x14ac:dyDescent="0.3">
      <c r="A119" s="110">
        <v>2220204</v>
      </c>
      <c r="B119" s="544" t="s">
        <v>732</v>
      </c>
      <c r="C119" s="111">
        <v>500000</v>
      </c>
      <c r="D119" s="479">
        <f t="shared" si="18"/>
        <v>525000</v>
      </c>
      <c r="E119" s="479">
        <f t="shared" si="18"/>
        <v>551250</v>
      </c>
    </row>
    <row r="120" spans="1:5" ht="15.65" x14ac:dyDescent="0.3">
      <c r="A120" s="108">
        <v>3111000</v>
      </c>
      <c r="B120" s="542" t="s">
        <v>82</v>
      </c>
      <c r="C120" s="109">
        <f>SUM(C121:C122)</f>
        <v>210000</v>
      </c>
      <c r="D120" s="109">
        <f>SUM(D121:D122)</f>
        <v>220500</v>
      </c>
      <c r="E120" s="109">
        <f>SUM(E121:E122)</f>
        <v>231525</v>
      </c>
    </row>
    <row r="121" spans="1:5" ht="15.65" x14ac:dyDescent="0.3">
      <c r="A121" s="110" t="s">
        <v>153</v>
      </c>
      <c r="B121" s="71" t="s">
        <v>83</v>
      </c>
      <c r="C121" s="111">
        <v>0</v>
      </c>
      <c r="D121" s="479">
        <f t="shared" ref="D121:E124" si="19">1.05*C121</f>
        <v>0</v>
      </c>
      <c r="E121" s="479">
        <f t="shared" si="19"/>
        <v>0</v>
      </c>
    </row>
    <row r="122" spans="1:5" ht="15.65" x14ac:dyDescent="0.3">
      <c r="A122" s="110">
        <v>3111002</v>
      </c>
      <c r="B122" s="544" t="s">
        <v>84</v>
      </c>
      <c r="C122" s="111">
        <v>210000</v>
      </c>
      <c r="D122" s="479">
        <f t="shared" si="19"/>
        <v>220500</v>
      </c>
      <c r="E122" s="479">
        <f t="shared" si="19"/>
        <v>231525</v>
      </c>
    </row>
    <row r="123" spans="1:5" ht="15.65" x14ac:dyDescent="0.3">
      <c r="A123" s="114"/>
      <c r="B123" s="117" t="s">
        <v>156</v>
      </c>
      <c r="C123" s="109">
        <f>C120+C115+C113+C106+C104+C100+C98+C95+C91+C88+C85+C79+C75+C72+C70</f>
        <v>38880587</v>
      </c>
      <c r="D123" s="109">
        <f>D120+D115+D113+D106+D104+D100+D98+D95+D91+D88+D85+D79+D75+D72+D70</f>
        <v>40824616.350000001</v>
      </c>
      <c r="E123" s="109">
        <f>E120+E115+E113+E106+E104+E100+E98+E95+E91+E88+E85+E79+E75+E72+E70</f>
        <v>42865847.167500004</v>
      </c>
    </row>
    <row r="124" spans="1:5" ht="15.65" x14ac:dyDescent="0.3">
      <c r="A124" s="114"/>
      <c r="B124" s="117" t="s">
        <v>157</v>
      </c>
      <c r="C124" s="109">
        <v>0</v>
      </c>
      <c r="D124" s="479">
        <f t="shared" si="19"/>
        <v>0</v>
      </c>
      <c r="E124" s="479">
        <f t="shared" si="19"/>
        <v>0</v>
      </c>
    </row>
    <row r="125" spans="1:5" ht="15.65" x14ac:dyDescent="0.3">
      <c r="A125" s="114"/>
      <c r="B125" s="117" t="s">
        <v>89</v>
      </c>
      <c r="C125" s="109">
        <f>C123-C124</f>
        <v>38880587</v>
      </c>
      <c r="D125" s="109">
        <f>D123-D124</f>
        <v>40824616.350000001</v>
      </c>
      <c r="E125" s="109">
        <f>E123-E124</f>
        <v>42865847.167500004</v>
      </c>
    </row>
    <row r="126" spans="1:5" ht="15.65" x14ac:dyDescent="0.3">
      <c r="A126" s="117" t="s">
        <v>158</v>
      </c>
      <c r="B126" s="71"/>
      <c r="C126" s="109"/>
      <c r="D126" s="479">
        <f t="shared" ref="D126:E140" si="20">1.05*C126</f>
        <v>0</v>
      </c>
      <c r="E126" s="479">
        <f t="shared" si="20"/>
        <v>0</v>
      </c>
    </row>
    <row r="127" spans="1:5" ht="15.65" x14ac:dyDescent="0.3">
      <c r="A127" s="110">
        <v>2210104</v>
      </c>
      <c r="B127" s="71" t="s">
        <v>147</v>
      </c>
      <c r="C127" s="111">
        <v>0</v>
      </c>
      <c r="D127" s="479">
        <f t="shared" si="20"/>
        <v>0</v>
      </c>
      <c r="E127" s="479">
        <f t="shared" si="20"/>
        <v>0</v>
      </c>
    </row>
    <row r="128" spans="1:5" ht="15.65" x14ac:dyDescent="0.3">
      <c r="A128" s="110" t="s">
        <v>535</v>
      </c>
      <c r="B128" s="71" t="s">
        <v>1006</v>
      </c>
      <c r="C128" s="111">
        <v>0</v>
      </c>
      <c r="D128" s="479">
        <f t="shared" si="20"/>
        <v>0</v>
      </c>
      <c r="E128" s="479">
        <f t="shared" si="20"/>
        <v>0</v>
      </c>
    </row>
    <row r="129" spans="1:6" ht="15.65" x14ac:dyDescent="0.3">
      <c r="A129" s="110" t="s">
        <v>536</v>
      </c>
      <c r="B129" s="71" t="s">
        <v>537</v>
      </c>
      <c r="C129" s="111">
        <v>0</v>
      </c>
      <c r="D129" s="479">
        <f t="shared" si="20"/>
        <v>0</v>
      </c>
      <c r="E129" s="479">
        <f t="shared" si="20"/>
        <v>0</v>
      </c>
    </row>
    <row r="130" spans="1:6" ht="15.65" x14ac:dyDescent="0.3">
      <c r="A130" s="118" t="s">
        <v>538</v>
      </c>
      <c r="B130" s="545" t="s">
        <v>539</v>
      </c>
      <c r="C130" s="111">
        <v>0</v>
      </c>
      <c r="D130" s="479">
        <f t="shared" si="20"/>
        <v>0</v>
      </c>
      <c r="E130" s="479">
        <f t="shared" si="20"/>
        <v>0</v>
      </c>
    </row>
    <row r="131" spans="1:6" ht="15.65" x14ac:dyDescent="0.3">
      <c r="A131" s="71">
        <v>3110599</v>
      </c>
      <c r="B131" s="29" t="s">
        <v>540</v>
      </c>
      <c r="C131" s="111">
        <v>0</v>
      </c>
      <c r="D131" s="479">
        <f t="shared" si="20"/>
        <v>0</v>
      </c>
      <c r="E131" s="479">
        <f t="shared" si="20"/>
        <v>0</v>
      </c>
    </row>
    <row r="132" spans="1:6" ht="15.65" x14ac:dyDescent="0.3">
      <c r="A132" s="71">
        <v>3111401</v>
      </c>
      <c r="B132" s="29" t="s">
        <v>155</v>
      </c>
      <c r="C132" s="111">
        <v>0</v>
      </c>
      <c r="D132" s="479">
        <f t="shared" si="20"/>
        <v>0</v>
      </c>
      <c r="E132" s="479">
        <f t="shared" si="20"/>
        <v>0</v>
      </c>
    </row>
    <row r="133" spans="1:6" ht="15.65" x14ac:dyDescent="0.3">
      <c r="A133" s="110" t="s">
        <v>541</v>
      </c>
      <c r="B133" s="71" t="s">
        <v>542</v>
      </c>
      <c r="C133" s="111">
        <v>0</v>
      </c>
      <c r="D133" s="479">
        <f t="shared" si="20"/>
        <v>0</v>
      </c>
      <c r="E133" s="479">
        <f t="shared" si="20"/>
        <v>0</v>
      </c>
    </row>
    <row r="134" spans="1:6" ht="15.65" x14ac:dyDescent="0.3">
      <c r="A134" s="29">
        <v>3110301</v>
      </c>
      <c r="B134" s="546" t="s">
        <v>531</v>
      </c>
      <c r="C134" s="111">
        <v>0</v>
      </c>
      <c r="D134" s="479">
        <f t="shared" si="20"/>
        <v>0</v>
      </c>
      <c r="E134" s="479">
        <f t="shared" si="20"/>
        <v>0</v>
      </c>
    </row>
    <row r="135" spans="1:6" ht="15.65" x14ac:dyDescent="0.3">
      <c r="A135" s="29">
        <v>3110604</v>
      </c>
      <c r="B135" s="546" t="s">
        <v>532</v>
      </c>
      <c r="C135" s="111">
        <v>0</v>
      </c>
      <c r="D135" s="479">
        <f t="shared" si="20"/>
        <v>0</v>
      </c>
      <c r="E135" s="479">
        <f t="shared" si="20"/>
        <v>0</v>
      </c>
    </row>
    <row r="136" spans="1:6" ht="15.65" x14ac:dyDescent="0.3">
      <c r="A136" s="29">
        <v>3111504</v>
      </c>
      <c r="B136" s="546" t="s">
        <v>668</v>
      </c>
      <c r="C136" s="191">
        <f>156209800-20000000-6310489</f>
        <v>129899311</v>
      </c>
      <c r="D136" s="479">
        <f t="shared" si="20"/>
        <v>136394276.55000001</v>
      </c>
      <c r="E136" s="479">
        <f t="shared" si="20"/>
        <v>143213990.37750003</v>
      </c>
      <c r="F136" s="10">
        <f>C136-50000000</f>
        <v>79899311</v>
      </c>
    </row>
    <row r="137" spans="1:6" ht="15.65" x14ac:dyDescent="0.3">
      <c r="A137" s="29">
        <v>3110504</v>
      </c>
      <c r="B137" s="546" t="s">
        <v>733</v>
      </c>
      <c r="C137" s="111">
        <v>0</v>
      </c>
      <c r="D137" s="479">
        <f t="shared" si="20"/>
        <v>0</v>
      </c>
      <c r="E137" s="479">
        <f t="shared" si="20"/>
        <v>0</v>
      </c>
    </row>
    <row r="138" spans="1:6" ht="15.65" x14ac:dyDescent="0.3">
      <c r="A138" s="116" t="s">
        <v>734</v>
      </c>
      <c r="B138" s="546"/>
      <c r="C138" s="111">
        <v>0</v>
      </c>
      <c r="D138" s="479">
        <f t="shared" si="20"/>
        <v>0</v>
      </c>
      <c r="E138" s="479">
        <f t="shared" si="20"/>
        <v>0</v>
      </c>
    </row>
    <row r="139" spans="1:6" ht="15.65" x14ac:dyDescent="0.3">
      <c r="A139" s="116" t="s">
        <v>734</v>
      </c>
      <c r="B139" s="71" t="s">
        <v>735</v>
      </c>
      <c r="C139" s="111">
        <v>297400170</v>
      </c>
      <c r="D139" s="479">
        <f t="shared" si="20"/>
        <v>312270178.5</v>
      </c>
      <c r="E139" s="479">
        <f t="shared" si="20"/>
        <v>327883687.42500001</v>
      </c>
    </row>
    <row r="140" spans="1:6" ht="15.65" x14ac:dyDescent="0.3">
      <c r="A140" s="116" t="s">
        <v>543</v>
      </c>
      <c r="B140" s="71" t="s">
        <v>544</v>
      </c>
      <c r="C140" s="111">
        <v>0</v>
      </c>
      <c r="D140" s="479">
        <f t="shared" si="20"/>
        <v>0</v>
      </c>
      <c r="E140" s="479">
        <f t="shared" si="20"/>
        <v>0</v>
      </c>
    </row>
    <row r="141" spans="1:6" ht="15.65" x14ac:dyDescent="0.3">
      <c r="A141" s="27"/>
      <c r="B141" s="480" t="s">
        <v>160</v>
      </c>
      <c r="C141" s="119">
        <f>C127+C134+C135+C136+C137+C139+C138</f>
        <v>427299481</v>
      </c>
      <c r="D141" s="119">
        <f>D127+D134+D135+D136+D137+D139+D138</f>
        <v>448664455.05000001</v>
      </c>
      <c r="E141" s="119">
        <f>E127+E134+E135+E136+E137+E139+E138</f>
        <v>471097677.80250001</v>
      </c>
    </row>
    <row r="142" spans="1:6" ht="15.65" x14ac:dyDescent="0.3">
      <c r="A142" s="27"/>
      <c r="B142" s="480" t="s">
        <v>161</v>
      </c>
      <c r="C142" s="119">
        <f>C141+C123</f>
        <v>466180068</v>
      </c>
      <c r="D142" s="119">
        <f>D141+D123</f>
        <v>489489071.40000004</v>
      </c>
      <c r="E142" s="119">
        <f>E141+E123</f>
        <v>513963524.97000003</v>
      </c>
    </row>
    <row r="143" spans="1:6" ht="16.25" thickBot="1" x14ac:dyDescent="0.35"/>
    <row r="144" spans="1:6" ht="16.25" thickBot="1" x14ac:dyDescent="0.35">
      <c r="A144" s="853" t="s">
        <v>940</v>
      </c>
      <c r="B144" s="854"/>
      <c r="C144" s="854"/>
      <c r="D144" s="854"/>
      <c r="E144" s="855"/>
    </row>
    <row r="145" spans="1:5" ht="47.4" thickBot="1" x14ac:dyDescent="0.35">
      <c r="A145" s="481" t="s">
        <v>0</v>
      </c>
      <c r="B145" s="547" t="s">
        <v>424</v>
      </c>
      <c r="C145" s="482" t="s">
        <v>482</v>
      </c>
      <c r="D145" s="482" t="s">
        <v>723</v>
      </c>
      <c r="E145" s="483" t="s">
        <v>939</v>
      </c>
    </row>
    <row r="146" spans="1:5" ht="15.65" x14ac:dyDescent="0.3">
      <c r="A146" s="484"/>
      <c r="B146" s="548" t="s">
        <v>425</v>
      </c>
      <c r="C146" s="485"/>
      <c r="D146" s="485"/>
      <c r="E146" s="486"/>
    </row>
    <row r="147" spans="1:5" ht="15.65" x14ac:dyDescent="0.3">
      <c r="A147" s="487">
        <v>2110100</v>
      </c>
      <c r="B147" s="290" t="s">
        <v>426</v>
      </c>
      <c r="C147" s="488">
        <f>SUM(C148:C149)</f>
        <v>20242043</v>
      </c>
      <c r="D147" s="488">
        <f t="shared" ref="D147:E147" si="21">SUM(D148:D148)</f>
        <v>20300905.800000001</v>
      </c>
      <c r="E147" s="489">
        <f t="shared" si="21"/>
        <v>21315951.09</v>
      </c>
    </row>
    <row r="148" spans="1:5" ht="15.65" x14ac:dyDescent="0.3">
      <c r="A148" s="490">
        <v>2110101</v>
      </c>
      <c r="B148" s="497" t="s">
        <v>427</v>
      </c>
      <c r="C148" s="491">
        <v>19334196</v>
      </c>
      <c r="D148" s="492">
        <f>C148*1.05</f>
        <v>20300905.800000001</v>
      </c>
      <c r="E148" s="493">
        <f>D148*1.05</f>
        <v>21315951.09</v>
      </c>
    </row>
    <row r="149" spans="1:5" ht="15.65" x14ac:dyDescent="0.3">
      <c r="A149" s="490">
        <v>2110102</v>
      </c>
      <c r="B149" s="497" t="s">
        <v>941</v>
      </c>
      <c r="C149" s="491">
        <v>907847</v>
      </c>
      <c r="D149" s="492">
        <f t="shared" ref="D149:E150" si="22">C149*1.05</f>
        <v>953239.35000000009</v>
      </c>
      <c r="E149" s="493">
        <f t="shared" si="22"/>
        <v>1000901.3175000001</v>
      </c>
    </row>
    <row r="150" spans="1:5" ht="15.65" x14ac:dyDescent="0.3">
      <c r="A150" s="487" t="s">
        <v>3</v>
      </c>
      <c r="B150" s="290" t="s">
        <v>4</v>
      </c>
      <c r="C150" s="494">
        <v>0</v>
      </c>
      <c r="D150" s="492">
        <f t="shared" si="22"/>
        <v>0</v>
      </c>
      <c r="E150" s="493">
        <f t="shared" si="22"/>
        <v>0</v>
      </c>
    </row>
    <row r="151" spans="1:5" ht="15.65" x14ac:dyDescent="0.3">
      <c r="A151" s="490" t="s">
        <v>5</v>
      </c>
      <c r="B151" s="497" t="s">
        <v>6</v>
      </c>
      <c r="C151" s="492">
        <v>0</v>
      </c>
      <c r="D151" s="492">
        <f>C151*1.05</f>
        <v>0</v>
      </c>
      <c r="E151" s="493">
        <f>D151*1.05</f>
        <v>0</v>
      </c>
    </row>
    <row r="152" spans="1:5" ht="15.65" x14ac:dyDescent="0.3">
      <c r="A152" s="490">
        <v>2110202</v>
      </c>
      <c r="B152" s="497" t="s">
        <v>8</v>
      </c>
      <c r="C152" s="492">
        <v>0</v>
      </c>
      <c r="D152" s="492">
        <f>C152*1.05</f>
        <v>0</v>
      </c>
      <c r="E152" s="493">
        <f>D152*1.05</f>
        <v>0</v>
      </c>
    </row>
    <row r="153" spans="1:5" ht="15.65" x14ac:dyDescent="0.3">
      <c r="A153" s="487">
        <v>2110400</v>
      </c>
      <c r="B153" s="290" t="s">
        <v>13</v>
      </c>
      <c r="C153" s="488">
        <f>SUM(C154:C156)</f>
        <v>164612</v>
      </c>
      <c r="D153" s="488">
        <f t="shared" ref="D153:E153" si="23">SUM(D154:D156)</f>
        <v>172842.6</v>
      </c>
      <c r="E153" s="489">
        <f t="shared" si="23"/>
        <v>181484.73</v>
      </c>
    </row>
    <row r="154" spans="1:5" ht="15.65" x14ac:dyDescent="0.3">
      <c r="A154" s="490">
        <v>2110402</v>
      </c>
      <c r="B154" s="497" t="s">
        <v>14</v>
      </c>
      <c r="C154" s="492">
        <v>0</v>
      </c>
      <c r="D154" s="492">
        <f>C154*1.05</f>
        <v>0</v>
      </c>
      <c r="E154" s="493">
        <f>D154*1.05</f>
        <v>0</v>
      </c>
    </row>
    <row r="155" spans="1:5" ht="15.65" x14ac:dyDescent="0.3">
      <c r="A155" s="490">
        <v>2110403</v>
      </c>
      <c r="B155" s="497" t="s">
        <v>15</v>
      </c>
      <c r="C155" s="492">
        <v>0</v>
      </c>
      <c r="D155" s="492">
        <f t="shared" ref="D155:E156" si="24">C155*1.05</f>
        <v>0</v>
      </c>
      <c r="E155" s="493">
        <f t="shared" si="24"/>
        <v>0</v>
      </c>
    </row>
    <row r="156" spans="1:5" ht="15.65" x14ac:dyDescent="0.3">
      <c r="A156" s="490">
        <v>2110404</v>
      </c>
      <c r="B156" s="497" t="s">
        <v>16</v>
      </c>
      <c r="C156" s="491">
        <v>164612</v>
      </c>
      <c r="D156" s="492">
        <f t="shared" si="24"/>
        <v>172842.6</v>
      </c>
      <c r="E156" s="493">
        <f t="shared" si="24"/>
        <v>181484.73</v>
      </c>
    </row>
    <row r="157" spans="1:5" ht="15.65" x14ac:dyDescent="0.3">
      <c r="A157" s="487" t="s">
        <v>17</v>
      </c>
      <c r="B157" s="290" t="s">
        <v>724</v>
      </c>
      <c r="C157" s="488">
        <f t="shared" ref="C157:E157" si="25">SUM(C158:C160)</f>
        <v>2722620</v>
      </c>
      <c r="D157" s="488">
        <f t="shared" si="25"/>
        <v>2858751</v>
      </c>
      <c r="E157" s="489">
        <f t="shared" si="25"/>
        <v>3001688.5500000003</v>
      </c>
    </row>
    <row r="158" spans="1:5" ht="15.65" x14ac:dyDescent="0.3">
      <c r="A158" s="490" t="s">
        <v>19</v>
      </c>
      <c r="B158" s="497" t="s">
        <v>20</v>
      </c>
      <c r="C158" s="491">
        <v>146880</v>
      </c>
      <c r="D158" s="492">
        <f>C158*1.05</f>
        <v>154224</v>
      </c>
      <c r="E158" s="493">
        <f>D158*1.05</f>
        <v>161935.20000000001</v>
      </c>
    </row>
    <row r="159" spans="1:5" ht="15.65" x14ac:dyDescent="0.3">
      <c r="A159" s="490">
        <v>2120102</v>
      </c>
      <c r="B159" s="497" t="s">
        <v>942</v>
      </c>
      <c r="C159" s="491">
        <v>290016</v>
      </c>
      <c r="D159" s="492">
        <f>C159*1.05</f>
        <v>304516.8</v>
      </c>
      <c r="E159" s="493">
        <f t="shared" ref="E159:E160" si="26">D159*1.05</f>
        <v>319742.64</v>
      </c>
    </row>
    <row r="160" spans="1:5" ht="15.65" x14ac:dyDescent="0.3">
      <c r="A160" s="490" t="s">
        <v>21</v>
      </c>
      <c r="B160" s="497" t="s">
        <v>22</v>
      </c>
      <c r="C160" s="491">
        <v>2285724</v>
      </c>
      <c r="D160" s="492">
        <f>C160*1.05</f>
        <v>2400010.2000000002</v>
      </c>
      <c r="E160" s="493">
        <f t="shared" si="26"/>
        <v>2520010.7100000004</v>
      </c>
    </row>
    <row r="161" spans="1:5" ht="15.65" x14ac:dyDescent="0.3">
      <c r="A161" s="487">
        <v>2710100</v>
      </c>
      <c r="B161" s="290" t="s">
        <v>78</v>
      </c>
      <c r="C161" s="488">
        <f>SUM(C162:C163)</f>
        <v>0</v>
      </c>
      <c r="D161" s="488">
        <f t="shared" ref="D161:E161" si="27">SUM(D162+D163)</f>
        <v>0</v>
      </c>
      <c r="E161" s="489">
        <f t="shared" si="27"/>
        <v>0</v>
      </c>
    </row>
    <row r="162" spans="1:5" ht="15.65" x14ac:dyDescent="0.3">
      <c r="A162" s="490">
        <v>2710102</v>
      </c>
      <c r="B162" s="549" t="s">
        <v>428</v>
      </c>
      <c r="C162" s="495">
        <v>0</v>
      </c>
      <c r="D162" s="495">
        <f>C162*1.05</f>
        <v>0</v>
      </c>
      <c r="E162" s="496">
        <f>D162*1.05</f>
        <v>0</v>
      </c>
    </row>
    <row r="163" spans="1:5" ht="15.65" x14ac:dyDescent="0.3">
      <c r="A163" s="490">
        <v>2710105</v>
      </c>
      <c r="B163" s="549" t="s">
        <v>80</v>
      </c>
      <c r="C163" s="495">
        <v>0</v>
      </c>
      <c r="D163" s="495">
        <f>C163*1.05</f>
        <v>0</v>
      </c>
      <c r="E163" s="496">
        <f>D163*1.05</f>
        <v>0</v>
      </c>
    </row>
    <row r="164" spans="1:5" ht="15.65" x14ac:dyDescent="0.3">
      <c r="A164" s="487">
        <v>2210100</v>
      </c>
      <c r="B164" s="550" t="s">
        <v>23</v>
      </c>
      <c r="C164" s="488">
        <f t="shared" ref="C164:E164" si="28">SUM(C165:C166)</f>
        <v>96000</v>
      </c>
      <c r="D164" s="488">
        <f t="shared" si="28"/>
        <v>100800</v>
      </c>
      <c r="E164" s="489">
        <f t="shared" si="28"/>
        <v>105840</v>
      </c>
    </row>
    <row r="165" spans="1:5" ht="15.65" x14ac:dyDescent="0.3">
      <c r="A165" s="490">
        <v>2210101</v>
      </c>
      <c r="B165" s="549" t="s">
        <v>24</v>
      </c>
      <c r="C165" s="492">
        <v>60000</v>
      </c>
      <c r="D165" s="492">
        <f>C165*1.05</f>
        <v>63000</v>
      </c>
      <c r="E165" s="493">
        <f>D165*1.05</f>
        <v>66150</v>
      </c>
    </row>
    <row r="166" spans="1:5" ht="15.65" x14ac:dyDescent="0.3">
      <c r="A166" s="490">
        <v>2210102</v>
      </c>
      <c r="B166" s="549" t="s">
        <v>725</v>
      </c>
      <c r="C166" s="492">
        <v>36000</v>
      </c>
      <c r="D166" s="492">
        <f>C166*1.05</f>
        <v>37800</v>
      </c>
      <c r="E166" s="493">
        <f>D166*1.05</f>
        <v>39690</v>
      </c>
    </row>
    <row r="167" spans="1:5" ht="15.65" x14ac:dyDescent="0.3">
      <c r="A167" s="487">
        <v>2210200</v>
      </c>
      <c r="B167" s="550" t="s">
        <v>26</v>
      </c>
      <c r="C167" s="488">
        <f t="shared" ref="C167:E167" si="29">SUM(C168:C170)</f>
        <v>2879678</v>
      </c>
      <c r="D167" s="488">
        <f t="shared" si="29"/>
        <v>3023661.9000000004</v>
      </c>
      <c r="E167" s="489">
        <f t="shared" si="29"/>
        <v>3174844.9950000001</v>
      </c>
    </row>
    <row r="168" spans="1:5" ht="15.65" x14ac:dyDescent="0.3">
      <c r="A168" s="490">
        <v>2210201</v>
      </c>
      <c r="B168" s="549" t="s">
        <v>429</v>
      </c>
      <c r="C168" s="492">
        <v>900000</v>
      </c>
      <c r="D168" s="492">
        <f t="shared" ref="D168:E170" si="30">C168*1.05</f>
        <v>945000</v>
      </c>
      <c r="E168" s="493">
        <f t="shared" si="30"/>
        <v>992250</v>
      </c>
    </row>
    <row r="169" spans="1:5" ht="15.65" x14ac:dyDescent="0.3">
      <c r="A169" s="490">
        <v>2210202</v>
      </c>
      <c r="B169" s="549" t="s">
        <v>108</v>
      </c>
      <c r="C169" s="492">
        <v>1979678</v>
      </c>
      <c r="D169" s="492">
        <f t="shared" si="30"/>
        <v>2078661.9000000001</v>
      </c>
      <c r="E169" s="493">
        <f t="shared" si="30"/>
        <v>2182594.9950000001</v>
      </c>
    </row>
    <row r="170" spans="1:5" ht="15.65" x14ac:dyDescent="0.3">
      <c r="A170" s="490">
        <v>2210203</v>
      </c>
      <c r="B170" s="549" t="s">
        <v>29</v>
      </c>
      <c r="C170" s="492">
        <v>0</v>
      </c>
      <c r="D170" s="492">
        <f t="shared" si="30"/>
        <v>0</v>
      </c>
      <c r="E170" s="493">
        <f t="shared" si="30"/>
        <v>0</v>
      </c>
    </row>
    <row r="171" spans="1:5" ht="15.65" x14ac:dyDescent="0.3">
      <c r="A171" s="487">
        <v>2210300</v>
      </c>
      <c r="B171" s="290" t="s">
        <v>30</v>
      </c>
      <c r="C171" s="488">
        <f>SUM(C172:C175)</f>
        <v>11654250</v>
      </c>
      <c r="D171" s="488">
        <f t="shared" ref="D171:E171" si="31">SUM(D172:D175)</f>
        <v>12236962.5</v>
      </c>
      <c r="E171" s="489">
        <f t="shared" si="31"/>
        <v>12848810.625</v>
      </c>
    </row>
    <row r="172" spans="1:5" ht="15.65" x14ac:dyDescent="0.3">
      <c r="A172" s="490">
        <v>2210301</v>
      </c>
      <c r="B172" s="549" t="s">
        <v>430</v>
      </c>
      <c r="C172" s="491">
        <v>1545000</v>
      </c>
      <c r="D172" s="492">
        <f>C172*1.05</f>
        <v>1622250</v>
      </c>
      <c r="E172" s="493">
        <f>D172*1.05</f>
        <v>1703362.5</v>
      </c>
    </row>
    <row r="173" spans="1:5" ht="15.65" x14ac:dyDescent="0.3">
      <c r="A173" s="490">
        <v>2210303</v>
      </c>
      <c r="B173" s="549" t="s">
        <v>431</v>
      </c>
      <c r="C173" s="491">
        <f>11309250-2000000</f>
        <v>9309250</v>
      </c>
      <c r="D173" s="492">
        <f t="shared" ref="D173:E175" si="32">C173*1.05</f>
        <v>9774712.5</v>
      </c>
      <c r="E173" s="493">
        <f t="shared" si="32"/>
        <v>10263448.125</v>
      </c>
    </row>
    <row r="174" spans="1:5" ht="15.65" x14ac:dyDescent="0.3">
      <c r="A174" s="490" t="s">
        <v>33</v>
      </c>
      <c r="B174" s="497" t="s">
        <v>116</v>
      </c>
      <c r="C174" s="491">
        <v>800000</v>
      </c>
      <c r="D174" s="492">
        <f t="shared" si="32"/>
        <v>840000</v>
      </c>
      <c r="E174" s="493">
        <f t="shared" si="32"/>
        <v>882000</v>
      </c>
    </row>
    <row r="175" spans="1:5" ht="15.65" x14ac:dyDescent="0.3">
      <c r="A175" s="490" t="s">
        <v>35</v>
      </c>
      <c r="B175" s="497" t="s">
        <v>36</v>
      </c>
      <c r="C175" s="492">
        <v>0</v>
      </c>
      <c r="D175" s="492">
        <f t="shared" si="32"/>
        <v>0</v>
      </c>
      <c r="E175" s="493">
        <f t="shared" si="32"/>
        <v>0</v>
      </c>
    </row>
    <row r="176" spans="1:5" ht="15.65" x14ac:dyDescent="0.3">
      <c r="A176" s="487" t="s">
        <v>117</v>
      </c>
      <c r="B176" s="290" t="s">
        <v>432</v>
      </c>
      <c r="C176" s="488">
        <f t="shared" ref="C176:E176" si="33">SUM(C177:C181)</f>
        <v>0</v>
      </c>
      <c r="D176" s="488">
        <f t="shared" si="33"/>
        <v>0</v>
      </c>
      <c r="E176" s="489">
        <f t="shared" si="33"/>
        <v>0</v>
      </c>
    </row>
    <row r="177" spans="1:5" ht="15.65" x14ac:dyDescent="0.3">
      <c r="A177" s="490" t="s">
        <v>119</v>
      </c>
      <c r="B177" s="497" t="s">
        <v>433</v>
      </c>
      <c r="C177" s="495">
        <v>0</v>
      </c>
      <c r="D177" s="495">
        <f>C177*1.05</f>
        <v>0</v>
      </c>
      <c r="E177" s="496">
        <f>D177*1.05</f>
        <v>0</v>
      </c>
    </row>
    <row r="178" spans="1:5" ht="15.65" x14ac:dyDescent="0.3">
      <c r="A178" s="490" t="s">
        <v>197</v>
      </c>
      <c r="B178" s="497" t="s">
        <v>434</v>
      </c>
      <c r="C178" s="495">
        <v>0</v>
      </c>
      <c r="D178" s="495">
        <f t="shared" ref="D178:E181" si="34">C178*1.05</f>
        <v>0</v>
      </c>
      <c r="E178" s="496">
        <f t="shared" si="34"/>
        <v>0</v>
      </c>
    </row>
    <row r="179" spans="1:5" ht="15.65" x14ac:dyDescent="0.3">
      <c r="A179" s="490" t="s">
        <v>121</v>
      </c>
      <c r="B179" s="497" t="s">
        <v>115</v>
      </c>
      <c r="C179" s="495">
        <v>0</v>
      </c>
      <c r="D179" s="495">
        <f t="shared" si="34"/>
        <v>0</v>
      </c>
      <c r="E179" s="496">
        <f t="shared" si="34"/>
        <v>0</v>
      </c>
    </row>
    <row r="180" spans="1:5" ht="15.65" x14ac:dyDescent="0.3">
      <c r="A180" s="490" t="s">
        <v>393</v>
      </c>
      <c r="B180" s="497" t="s">
        <v>435</v>
      </c>
      <c r="C180" s="495">
        <v>0</v>
      </c>
      <c r="D180" s="495">
        <f t="shared" si="34"/>
        <v>0</v>
      </c>
      <c r="E180" s="496">
        <f t="shared" si="34"/>
        <v>0</v>
      </c>
    </row>
    <row r="181" spans="1:5" ht="15.65" x14ac:dyDescent="0.3">
      <c r="A181" s="490" t="s">
        <v>395</v>
      </c>
      <c r="B181" s="497" t="s">
        <v>396</v>
      </c>
      <c r="C181" s="495">
        <v>0</v>
      </c>
      <c r="D181" s="495">
        <f t="shared" si="34"/>
        <v>0</v>
      </c>
      <c r="E181" s="496">
        <f t="shared" si="34"/>
        <v>0</v>
      </c>
    </row>
    <row r="182" spans="1:5" ht="15.65" x14ac:dyDescent="0.3">
      <c r="A182" s="487">
        <v>2210500</v>
      </c>
      <c r="B182" s="290" t="s">
        <v>410</v>
      </c>
      <c r="C182" s="488">
        <f t="shared" ref="C182:E182" si="35">SUM(C183:C186)</f>
        <v>1600000</v>
      </c>
      <c r="D182" s="488">
        <f t="shared" si="35"/>
        <v>1680000</v>
      </c>
      <c r="E182" s="489">
        <f t="shared" si="35"/>
        <v>1764000</v>
      </c>
    </row>
    <row r="183" spans="1:5" ht="15.65" x14ac:dyDescent="0.3">
      <c r="A183" s="490">
        <v>2210503</v>
      </c>
      <c r="B183" s="549" t="s">
        <v>436</v>
      </c>
      <c r="C183" s="495">
        <v>0</v>
      </c>
      <c r="D183" s="495">
        <f>C183*1.05</f>
        <v>0</v>
      </c>
      <c r="E183" s="496">
        <f>D183*1.05</f>
        <v>0</v>
      </c>
    </row>
    <row r="184" spans="1:5" ht="15.65" x14ac:dyDescent="0.3">
      <c r="A184" s="490" t="s">
        <v>200</v>
      </c>
      <c r="B184" s="497" t="s">
        <v>201</v>
      </c>
      <c r="C184" s="492">
        <v>400000</v>
      </c>
      <c r="D184" s="495">
        <f t="shared" ref="D184:E186" si="36">C184*1.05</f>
        <v>420000</v>
      </c>
      <c r="E184" s="496">
        <f t="shared" si="36"/>
        <v>441000</v>
      </c>
    </row>
    <row r="185" spans="1:5" ht="15.65" x14ac:dyDescent="0.3">
      <c r="A185" s="490" t="s">
        <v>124</v>
      </c>
      <c r="B185" s="497" t="s">
        <v>125</v>
      </c>
      <c r="C185" s="492">
        <v>1200000</v>
      </c>
      <c r="D185" s="495">
        <f t="shared" si="36"/>
        <v>1260000</v>
      </c>
      <c r="E185" s="496">
        <f t="shared" si="36"/>
        <v>1323000</v>
      </c>
    </row>
    <row r="186" spans="1:5" ht="15.65" x14ac:dyDescent="0.3">
      <c r="A186" s="490">
        <v>2210505</v>
      </c>
      <c r="B186" s="549" t="s">
        <v>41</v>
      </c>
      <c r="C186" s="492">
        <v>0</v>
      </c>
      <c r="D186" s="495">
        <f t="shared" si="36"/>
        <v>0</v>
      </c>
      <c r="E186" s="496">
        <f t="shared" si="36"/>
        <v>0</v>
      </c>
    </row>
    <row r="187" spans="1:5" ht="15.65" x14ac:dyDescent="0.3">
      <c r="A187" s="487">
        <v>2210600</v>
      </c>
      <c r="B187" s="290" t="s">
        <v>42</v>
      </c>
      <c r="C187" s="488">
        <f t="shared" ref="C187:E187" si="37">SUM(C188:C189)</f>
        <v>1440000</v>
      </c>
      <c r="D187" s="488">
        <f t="shared" si="37"/>
        <v>1512000</v>
      </c>
      <c r="E187" s="489">
        <f t="shared" si="37"/>
        <v>1587600</v>
      </c>
    </row>
    <row r="188" spans="1:5" ht="15.65" x14ac:dyDescent="0.3">
      <c r="A188" s="490">
        <v>2210603</v>
      </c>
      <c r="B188" s="549" t="s">
        <v>43</v>
      </c>
      <c r="C188" s="495">
        <v>1440000</v>
      </c>
      <c r="D188" s="495">
        <f>C188*1.05</f>
        <v>1512000</v>
      </c>
      <c r="E188" s="496">
        <f>D188*1.05</f>
        <v>1587600</v>
      </c>
    </row>
    <row r="189" spans="1:5" ht="15.65" x14ac:dyDescent="0.3">
      <c r="A189" s="490">
        <v>2210604</v>
      </c>
      <c r="B189" s="497" t="s">
        <v>44</v>
      </c>
      <c r="C189" s="495">
        <v>0</v>
      </c>
      <c r="D189" s="495">
        <f>C189*1.05</f>
        <v>0</v>
      </c>
      <c r="E189" s="496">
        <f>D189*1.05</f>
        <v>0</v>
      </c>
    </row>
    <row r="190" spans="1:5" ht="15.65" x14ac:dyDescent="0.3">
      <c r="A190" s="487">
        <v>2210700</v>
      </c>
      <c r="B190" s="290" t="s">
        <v>45</v>
      </c>
      <c r="C190" s="488">
        <f t="shared" ref="C190:E190" si="38">SUM(C191:C196)</f>
        <v>5105400</v>
      </c>
      <c r="D190" s="488">
        <f t="shared" si="38"/>
        <v>5360670</v>
      </c>
      <c r="E190" s="489">
        <f t="shared" si="38"/>
        <v>5628703.5</v>
      </c>
    </row>
    <row r="191" spans="1:5" ht="15.65" x14ac:dyDescent="0.3">
      <c r="A191" s="490">
        <v>2210710</v>
      </c>
      <c r="B191" s="549" t="s">
        <v>1220</v>
      </c>
      <c r="C191" s="491">
        <v>2997200</v>
      </c>
      <c r="D191" s="492">
        <f>C191*1.05</f>
        <v>3147060</v>
      </c>
      <c r="E191" s="493">
        <f>D191*1.05</f>
        <v>3304413</v>
      </c>
    </row>
    <row r="192" spans="1:5" ht="15.65" x14ac:dyDescent="0.3">
      <c r="A192" s="498">
        <v>2210711</v>
      </c>
      <c r="B192" s="551" t="s">
        <v>437</v>
      </c>
      <c r="C192" s="491">
        <v>2108200</v>
      </c>
      <c r="D192" s="492">
        <f t="shared" ref="D192:E196" si="39">C192*1.05</f>
        <v>2213610</v>
      </c>
      <c r="E192" s="493">
        <f t="shared" si="39"/>
        <v>2324290.5</v>
      </c>
    </row>
    <row r="193" spans="1:5" ht="15.65" x14ac:dyDescent="0.3">
      <c r="A193" s="498" t="s">
        <v>412</v>
      </c>
      <c r="B193" s="551" t="s">
        <v>398</v>
      </c>
      <c r="C193" s="499">
        <v>0</v>
      </c>
      <c r="D193" s="492">
        <f t="shared" si="39"/>
        <v>0</v>
      </c>
      <c r="E193" s="493">
        <f t="shared" si="39"/>
        <v>0</v>
      </c>
    </row>
    <row r="194" spans="1:5" ht="15.65" x14ac:dyDescent="0.3">
      <c r="A194" s="498" t="s">
        <v>332</v>
      </c>
      <c r="B194" s="551" t="s">
        <v>333</v>
      </c>
      <c r="C194" s="499">
        <v>0</v>
      </c>
      <c r="D194" s="492">
        <f t="shared" si="39"/>
        <v>0</v>
      </c>
      <c r="E194" s="493">
        <f t="shared" si="39"/>
        <v>0</v>
      </c>
    </row>
    <row r="195" spans="1:5" ht="15.65" x14ac:dyDescent="0.3">
      <c r="A195" s="498" t="s">
        <v>312</v>
      </c>
      <c r="B195" s="551" t="s">
        <v>46</v>
      </c>
      <c r="C195" s="495">
        <v>0</v>
      </c>
      <c r="D195" s="492">
        <f t="shared" si="39"/>
        <v>0</v>
      </c>
      <c r="E195" s="493">
        <f t="shared" si="39"/>
        <v>0</v>
      </c>
    </row>
    <row r="196" spans="1:5" ht="15.65" x14ac:dyDescent="0.3">
      <c r="A196" s="498" t="s">
        <v>413</v>
      </c>
      <c r="B196" s="551" t="s">
        <v>414</v>
      </c>
      <c r="C196" s="495">
        <v>0</v>
      </c>
      <c r="D196" s="492">
        <f t="shared" si="39"/>
        <v>0</v>
      </c>
      <c r="E196" s="493">
        <f t="shared" si="39"/>
        <v>0</v>
      </c>
    </row>
    <row r="197" spans="1:5" ht="15.65" x14ac:dyDescent="0.3">
      <c r="A197" s="487">
        <v>2210800</v>
      </c>
      <c r="B197" s="290" t="s">
        <v>48</v>
      </c>
      <c r="C197" s="488">
        <f t="shared" ref="C197:E197" si="40">SUM(C198:C199)</f>
        <v>9215000</v>
      </c>
      <c r="D197" s="488">
        <f t="shared" si="40"/>
        <v>9675750</v>
      </c>
      <c r="E197" s="489">
        <f t="shared" si="40"/>
        <v>10159537.5</v>
      </c>
    </row>
    <row r="198" spans="1:5" ht="15.65" x14ac:dyDescent="0.3">
      <c r="A198" s="490">
        <v>2210801</v>
      </c>
      <c r="B198" s="549" t="s">
        <v>438</v>
      </c>
      <c r="C198" s="491">
        <v>1540000</v>
      </c>
      <c r="D198" s="492">
        <f>C198*1.05</f>
        <v>1617000</v>
      </c>
      <c r="E198" s="493">
        <f>D198*1.05</f>
        <v>1697850</v>
      </c>
    </row>
    <row r="199" spans="1:5" ht="15.65" x14ac:dyDescent="0.3">
      <c r="A199" s="490">
        <v>2210802</v>
      </c>
      <c r="B199" s="549" t="s">
        <v>439</v>
      </c>
      <c r="C199" s="491">
        <f>12675000-5000000</f>
        <v>7675000</v>
      </c>
      <c r="D199" s="492">
        <f>C199*1.05</f>
        <v>8058750</v>
      </c>
      <c r="E199" s="493">
        <f>D199*1.05</f>
        <v>8461687.5</v>
      </c>
    </row>
    <row r="200" spans="1:5" ht="15.65" x14ac:dyDescent="0.3">
      <c r="A200" s="487">
        <v>2210900</v>
      </c>
      <c r="B200" s="290" t="s">
        <v>209</v>
      </c>
      <c r="C200" s="494">
        <f>C201+C202</f>
        <v>200000</v>
      </c>
      <c r="D200" s="488">
        <f t="shared" ref="D200:E200" si="41">D201+D202</f>
        <v>210000</v>
      </c>
      <c r="E200" s="489">
        <f t="shared" si="41"/>
        <v>220500</v>
      </c>
    </row>
    <row r="201" spans="1:5" ht="15.65" x14ac:dyDescent="0.3">
      <c r="A201" s="490">
        <v>2210901</v>
      </c>
      <c r="B201" s="549" t="s">
        <v>440</v>
      </c>
      <c r="C201" s="495">
        <v>0</v>
      </c>
      <c r="D201" s="495">
        <f>C201*1.05</f>
        <v>0</v>
      </c>
      <c r="E201" s="496">
        <f>D201*1.05</f>
        <v>0</v>
      </c>
    </row>
    <row r="202" spans="1:5" ht="15.65" x14ac:dyDescent="0.3">
      <c r="A202" s="490">
        <v>2210904</v>
      </c>
      <c r="B202" s="551" t="s">
        <v>66</v>
      </c>
      <c r="C202" s="495">
        <v>200000</v>
      </c>
      <c r="D202" s="495">
        <f>C202*1.05</f>
        <v>210000</v>
      </c>
      <c r="E202" s="496">
        <f>D202*1.05</f>
        <v>220500</v>
      </c>
    </row>
    <row r="203" spans="1:5" ht="15.65" x14ac:dyDescent="0.3">
      <c r="A203" s="487">
        <v>2211000</v>
      </c>
      <c r="B203" s="550" t="s">
        <v>51</v>
      </c>
      <c r="C203" s="488">
        <f t="shared" ref="C203:E203" si="42">SUM(C204:C206)</f>
        <v>0</v>
      </c>
      <c r="D203" s="488">
        <f t="shared" si="42"/>
        <v>0</v>
      </c>
      <c r="E203" s="489">
        <f t="shared" si="42"/>
        <v>0</v>
      </c>
    </row>
    <row r="204" spans="1:5" ht="15.65" x14ac:dyDescent="0.3">
      <c r="A204" s="490">
        <v>2211004</v>
      </c>
      <c r="B204" s="549" t="s">
        <v>726</v>
      </c>
      <c r="C204" s="495">
        <v>0</v>
      </c>
      <c r="D204" s="495">
        <f>C204*1.05</f>
        <v>0</v>
      </c>
      <c r="E204" s="496">
        <f>D204*1.05</f>
        <v>0</v>
      </c>
    </row>
    <row r="205" spans="1:5" ht="15.65" x14ac:dyDescent="0.3">
      <c r="A205" s="490">
        <v>2211009</v>
      </c>
      <c r="B205" s="497" t="s">
        <v>52</v>
      </c>
      <c r="C205" s="495">
        <v>0</v>
      </c>
      <c r="D205" s="495">
        <f t="shared" ref="D205:E206" si="43">C205*1.05</f>
        <v>0</v>
      </c>
      <c r="E205" s="496">
        <f t="shared" si="43"/>
        <v>0</v>
      </c>
    </row>
    <row r="206" spans="1:5" ht="15.65" x14ac:dyDescent="0.3">
      <c r="A206" s="490">
        <v>2211016</v>
      </c>
      <c r="B206" s="497" t="s">
        <v>441</v>
      </c>
      <c r="C206" s="495">
        <v>0</v>
      </c>
      <c r="D206" s="495">
        <f t="shared" si="43"/>
        <v>0</v>
      </c>
      <c r="E206" s="496">
        <f t="shared" si="43"/>
        <v>0</v>
      </c>
    </row>
    <row r="207" spans="1:5" ht="15.65" x14ac:dyDescent="0.3">
      <c r="A207" s="487">
        <v>2211100</v>
      </c>
      <c r="B207" s="550" t="s">
        <v>56</v>
      </c>
      <c r="C207" s="488">
        <f>SUM(C208:C210)</f>
        <v>1300000</v>
      </c>
      <c r="D207" s="488">
        <f t="shared" ref="D207:E207" si="44">SUM(D208:D210)</f>
        <v>1365000</v>
      </c>
      <c r="E207" s="489">
        <f t="shared" si="44"/>
        <v>1433250</v>
      </c>
    </row>
    <row r="208" spans="1:5" ht="15.65" x14ac:dyDescent="0.3">
      <c r="A208" s="490">
        <v>2211101</v>
      </c>
      <c r="B208" s="549" t="s">
        <v>57</v>
      </c>
      <c r="C208" s="492">
        <v>500000</v>
      </c>
      <c r="D208" s="492">
        <f>C208*1.05</f>
        <v>525000</v>
      </c>
      <c r="E208" s="493">
        <f>D208*1.05</f>
        <v>551250</v>
      </c>
    </row>
    <row r="209" spans="1:6" ht="15.65" x14ac:dyDescent="0.3">
      <c r="A209" s="490">
        <v>2211102</v>
      </c>
      <c r="B209" s="549" t="s">
        <v>58</v>
      </c>
      <c r="C209" s="495">
        <v>600000</v>
      </c>
      <c r="D209" s="492">
        <f t="shared" ref="D209:E210" si="45">C209*1.05</f>
        <v>630000</v>
      </c>
      <c r="E209" s="493">
        <f t="shared" si="45"/>
        <v>661500</v>
      </c>
    </row>
    <row r="210" spans="1:6" ht="15.65" x14ac:dyDescent="0.3">
      <c r="A210" s="490">
        <v>2211103</v>
      </c>
      <c r="B210" s="497" t="s">
        <v>230</v>
      </c>
      <c r="C210" s="492">
        <v>200000</v>
      </c>
      <c r="D210" s="492">
        <f t="shared" si="45"/>
        <v>210000</v>
      </c>
      <c r="E210" s="493">
        <f t="shared" si="45"/>
        <v>220500</v>
      </c>
    </row>
    <row r="211" spans="1:6" ht="15.65" x14ac:dyDescent="0.3">
      <c r="A211" s="487">
        <v>2211200</v>
      </c>
      <c r="B211" s="550" t="s">
        <v>60</v>
      </c>
      <c r="C211" s="488">
        <f t="shared" ref="C211:E211" si="46">SUM(C212)</f>
        <v>1500000</v>
      </c>
      <c r="D211" s="488">
        <f t="shared" si="46"/>
        <v>1575000</v>
      </c>
      <c r="E211" s="489">
        <f t="shared" si="46"/>
        <v>1653750</v>
      </c>
    </row>
    <row r="212" spans="1:6" ht="15.65" x14ac:dyDescent="0.3">
      <c r="A212" s="490">
        <v>2211201</v>
      </c>
      <c r="B212" s="549" t="s">
        <v>61</v>
      </c>
      <c r="C212" s="495">
        <v>1500000</v>
      </c>
      <c r="D212" s="495">
        <f>C212*1.05</f>
        <v>1575000</v>
      </c>
      <c r="E212" s="496">
        <f>D212*1.05</f>
        <v>1653750</v>
      </c>
    </row>
    <row r="213" spans="1:6" ht="15.65" x14ac:dyDescent="0.3">
      <c r="A213" s="487">
        <v>2211300</v>
      </c>
      <c r="B213" s="550" t="s">
        <v>62</v>
      </c>
      <c r="C213" s="488">
        <f t="shared" ref="C213:E213" si="47">SUM(C214:C217)</f>
        <v>720370</v>
      </c>
      <c r="D213" s="488">
        <f t="shared" si="47"/>
        <v>756388.5</v>
      </c>
      <c r="E213" s="489">
        <f t="shared" si="47"/>
        <v>794207.92500000005</v>
      </c>
    </row>
    <row r="214" spans="1:6" ht="15.65" x14ac:dyDescent="0.3">
      <c r="A214" s="490">
        <v>2211306</v>
      </c>
      <c r="B214" s="549" t="s">
        <v>65</v>
      </c>
      <c r="C214" s="492">
        <v>60000</v>
      </c>
      <c r="D214" s="492">
        <f>C214*1.05</f>
        <v>63000</v>
      </c>
      <c r="E214" s="493">
        <f>D214*1.05</f>
        <v>66150</v>
      </c>
    </row>
    <row r="215" spans="1:6" ht="15.65" x14ac:dyDescent="0.3">
      <c r="A215" s="490">
        <v>2410104</v>
      </c>
      <c r="B215" s="549" t="s">
        <v>450</v>
      </c>
      <c r="C215" s="500">
        <f>1320740/2</f>
        <v>660370</v>
      </c>
      <c r="D215" s="492">
        <f t="shared" ref="D215:E217" si="48">C215*1.05</f>
        <v>693388.5</v>
      </c>
      <c r="E215" s="493">
        <f t="shared" si="48"/>
        <v>728057.92500000005</v>
      </c>
    </row>
    <row r="216" spans="1:6" ht="15.65" x14ac:dyDescent="0.3">
      <c r="A216" s="490">
        <v>2211308</v>
      </c>
      <c r="B216" s="549" t="s">
        <v>442</v>
      </c>
      <c r="C216" s="495">
        <v>0</v>
      </c>
      <c r="D216" s="492">
        <f t="shared" si="48"/>
        <v>0</v>
      </c>
      <c r="E216" s="493">
        <f t="shared" si="48"/>
        <v>0</v>
      </c>
      <c r="F216" s="10">
        <f>C215-660370</f>
        <v>0</v>
      </c>
    </row>
    <row r="217" spans="1:6" ht="15.65" x14ac:dyDescent="0.3">
      <c r="A217" s="490">
        <v>2211310</v>
      </c>
      <c r="B217" s="549" t="s">
        <v>443</v>
      </c>
      <c r="C217" s="495">
        <v>0</v>
      </c>
      <c r="D217" s="492">
        <f t="shared" si="48"/>
        <v>0</v>
      </c>
      <c r="E217" s="493">
        <f t="shared" si="48"/>
        <v>0</v>
      </c>
    </row>
    <row r="218" spans="1:6" ht="15.65" x14ac:dyDescent="0.3">
      <c r="A218" s="487">
        <v>2220100</v>
      </c>
      <c r="B218" s="552" t="s">
        <v>71</v>
      </c>
      <c r="C218" s="488">
        <f t="shared" ref="C218:E218" si="49">SUM(C219)</f>
        <v>300000</v>
      </c>
      <c r="D218" s="488">
        <f t="shared" si="49"/>
        <v>315000</v>
      </c>
      <c r="E218" s="489">
        <f t="shared" si="49"/>
        <v>330750</v>
      </c>
    </row>
    <row r="219" spans="1:6" ht="15.65" x14ac:dyDescent="0.3">
      <c r="A219" s="490">
        <v>2220101</v>
      </c>
      <c r="B219" s="553" t="s">
        <v>72</v>
      </c>
      <c r="C219" s="495">
        <v>300000</v>
      </c>
      <c r="D219" s="495">
        <f>C219*1.05</f>
        <v>315000</v>
      </c>
      <c r="E219" s="496">
        <f>D219*1.05</f>
        <v>330750</v>
      </c>
    </row>
    <row r="220" spans="1:6" ht="15.65" x14ac:dyDescent="0.3">
      <c r="A220" s="487">
        <v>2220200</v>
      </c>
      <c r="B220" s="550" t="s">
        <v>73</v>
      </c>
      <c r="C220" s="488">
        <f>SUM(C221:C225)</f>
        <v>500000</v>
      </c>
      <c r="D220" s="488">
        <f t="shared" ref="D220:E220" si="50">SUM(D221:D225)</f>
        <v>525000</v>
      </c>
      <c r="E220" s="489">
        <f t="shared" si="50"/>
        <v>551250</v>
      </c>
    </row>
    <row r="221" spans="1:6" ht="15.65" x14ac:dyDescent="0.3">
      <c r="A221" s="490">
        <v>2220201</v>
      </c>
      <c r="B221" s="549" t="s">
        <v>74</v>
      </c>
      <c r="C221" s="495">
        <v>0</v>
      </c>
      <c r="D221" s="495">
        <f>C221*1.05</f>
        <v>0</v>
      </c>
      <c r="E221" s="496">
        <f>D221*1.05</f>
        <v>0</v>
      </c>
    </row>
    <row r="222" spans="1:6" ht="15.65" x14ac:dyDescent="0.3">
      <c r="A222" s="490">
        <v>2220202</v>
      </c>
      <c r="B222" s="549" t="s">
        <v>75</v>
      </c>
      <c r="C222" s="495">
        <v>200000</v>
      </c>
      <c r="D222" s="495">
        <f t="shared" ref="D222:E225" si="51">C222*1.05</f>
        <v>210000</v>
      </c>
      <c r="E222" s="496">
        <f t="shared" si="51"/>
        <v>220500</v>
      </c>
    </row>
    <row r="223" spans="1:6" ht="15.65" x14ac:dyDescent="0.3">
      <c r="A223" s="490">
        <v>2220204</v>
      </c>
      <c r="B223" s="549" t="s">
        <v>335</v>
      </c>
      <c r="C223" s="495">
        <v>0</v>
      </c>
      <c r="D223" s="495">
        <f t="shared" si="51"/>
        <v>0</v>
      </c>
      <c r="E223" s="496">
        <f t="shared" si="51"/>
        <v>0</v>
      </c>
    </row>
    <row r="224" spans="1:6" ht="15.65" x14ac:dyDescent="0.3">
      <c r="A224" s="490">
        <v>2220205</v>
      </c>
      <c r="B224" s="549" t="s">
        <v>444</v>
      </c>
      <c r="C224" s="495">
        <v>0</v>
      </c>
      <c r="D224" s="495">
        <f t="shared" si="51"/>
        <v>0</v>
      </c>
      <c r="E224" s="496">
        <f t="shared" si="51"/>
        <v>0</v>
      </c>
    </row>
    <row r="225" spans="1:5" ht="15.65" x14ac:dyDescent="0.3">
      <c r="A225" s="490">
        <v>2220210</v>
      </c>
      <c r="B225" s="549" t="s">
        <v>727</v>
      </c>
      <c r="C225" s="492">
        <v>300000</v>
      </c>
      <c r="D225" s="495">
        <f t="shared" si="51"/>
        <v>315000</v>
      </c>
      <c r="E225" s="496">
        <f t="shared" si="51"/>
        <v>330750</v>
      </c>
    </row>
    <row r="226" spans="1:5" ht="15.65" x14ac:dyDescent="0.3">
      <c r="A226" s="487">
        <v>2640500</v>
      </c>
      <c r="B226" s="550" t="s">
        <v>943</v>
      </c>
      <c r="C226" s="488">
        <f t="shared" ref="C226:E226" si="52">SUM(C227)</f>
        <v>17500000</v>
      </c>
      <c r="D226" s="488">
        <f t="shared" si="52"/>
        <v>18375000</v>
      </c>
      <c r="E226" s="489">
        <f t="shared" si="52"/>
        <v>19293750</v>
      </c>
    </row>
    <row r="227" spans="1:5" ht="15.65" x14ac:dyDescent="0.3">
      <c r="A227" s="490">
        <v>2640503</v>
      </c>
      <c r="B227" s="554" t="s">
        <v>944</v>
      </c>
      <c r="C227" s="495">
        <v>17500000</v>
      </c>
      <c r="D227" s="495">
        <f>C227*1.05</f>
        <v>18375000</v>
      </c>
      <c r="E227" s="496">
        <f>D227*1.05</f>
        <v>19293750</v>
      </c>
    </row>
    <row r="228" spans="1:5" ht="15.65" x14ac:dyDescent="0.3">
      <c r="A228" s="487">
        <v>3110700</v>
      </c>
      <c r="B228" s="555" t="s">
        <v>445</v>
      </c>
      <c r="C228" s="488">
        <f t="shared" ref="C228:E228" si="53">SUM(C229:C230)</f>
        <v>7000000</v>
      </c>
      <c r="D228" s="488">
        <f t="shared" si="53"/>
        <v>7350000</v>
      </c>
      <c r="E228" s="489">
        <f t="shared" si="53"/>
        <v>7717500</v>
      </c>
    </row>
    <row r="229" spans="1:5" ht="15.65" x14ac:dyDescent="0.3">
      <c r="A229" s="490">
        <v>3110701</v>
      </c>
      <c r="B229" s="549" t="s">
        <v>446</v>
      </c>
      <c r="C229" s="495">
        <v>7000000</v>
      </c>
      <c r="D229" s="495">
        <f>C229*1.05</f>
        <v>7350000</v>
      </c>
      <c r="E229" s="496">
        <f>D229*1.05</f>
        <v>7717500</v>
      </c>
    </row>
    <row r="230" spans="1:5" ht="15.65" x14ac:dyDescent="0.3">
      <c r="A230" s="490">
        <v>3110704</v>
      </c>
      <c r="B230" s="549" t="s">
        <v>447</v>
      </c>
      <c r="C230" s="495">
        <v>0</v>
      </c>
      <c r="D230" s="495">
        <f>C230*1.05</f>
        <v>0</v>
      </c>
      <c r="E230" s="496">
        <f>D230*1.05</f>
        <v>0</v>
      </c>
    </row>
    <row r="231" spans="1:5" ht="15.65" x14ac:dyDescent="0.3">
      <c r="A231" s="487">
        <v>3111000</v>
      </c>
      <c r="B231" s="550" t="s">
        <v>82</v>
      </c>
      <c r="C231" s="488">
        <f t="shared" ref="C231:E231" si="54">SUM(C232:C234)</f>
        <v>1300000</v>
      </c>
      <c r="D231" s="488">
        <f t="shared" si="54"/>
        <v>1365000</v>
      </c>
      <c r="E231" s="489">
        <f t="shared" si="54"/>
        <v>1433250</v>
      </c>
    </row>
    <row r="232" spans="1:5" ht="15.65" x14ac:dyDescent="0.3">
      <c r="A232" s="490">
        <v>3111001</v>
      </c>
      <c r="B232" s="549" t="s">
        <v>83</v>
      </c>
      <c r="C232" s="492">
        <v>800000</v>
      </c>
      <c r="D232" s="492">
        <f>C232*1.05</f>
        <v>840000</v>
      </c>
      <c r="E232" s="493">
        <f>D232*1.05</f>
        <v>882000</v>
      </c>
    </row>
    <row r="233" spans="1:5" ht="15.65" x14ac:dyDescent="0.3">
      <c r="A233" s="490">
        <v>3111002</v>
      </c>
      <c r="B233" s="549" t="s">
        <v>84</v>
      </c>
      <c r="C233" s="492">
        <v>500000</v>
      </c>
      <c r="D233" s="492">
        <f t="shared" ref="D233:E234" si="55">C233*1.05</f>
        <v>525000</v>
      </c>
      <c r="E233" s="493">
        <f t="shared" si="55"/>
        <v>551250</v>
      </c>
    </row>
    <row r="234" spans="1:5" ht="15.65" x14ac:dyDescent="0.3">
      <c r="A234" s="490">
        <v>3111003</v>
      </c>
      <c r="B234" s="549" t="s">
        <v>336</v>
      </c>
      <c r="C234" s="492">
        <v>0</v>
      </c>
      <c r="D234" s="492">
        <f t="shared" si="55"/>
        <v>0</v>
      </c>
      <c r="E234" s="493">
        <f t="shared" si="55"/>
        <v>0</v>
      </c>
    </row>
    <row r="235" spans="1:5" ht="15.65" x14ac:dyDescent="0.3">
      <c r="A235" s="487">
        <v>3111400</v>
      </c>
      <c r="B235" s="550" t="s">
        <v>945</v>
      </c>
      <c r="C235" s="488">
        <f>SUM(C236:C237)</f>
        <v>0</v>
      </c>
      <c r="D235" s="488">
        <f t="shared" ref="D235:E235" si="56">SUM(D236:D237)</f>
        <v>0</v>
      </c>
      <c r="E235" s="489">
        <f t="shared" si="56"/>
        <v>0</v>
      </c>
    </row>
    <row r="236" spans="1:5" ht="15.65" x14ac:dyDescent="0.3">
      <c r="A236" s="490">
        <v>3111401</v>
      </c>
      <c r="B236" s="554" t="s">
        <v>449</v>
      </c>
      <c r="C236" s="495">
        <v>0</v>
      </c>
      <c r="D236" s="495"/>
      <c r="E236" s="496"/>
    </row>
    <row r="237" spans="1:5" ht="15.65" x14ac:dyDescent="0.3">
      <c r="A237" s="490">
        <v>3111403</v>
      </c>
      <c r="B237" s="554" t="s">
        <v>327</v>
      </c>
      <c r="C237" s="495">
        <v>0</v>
      </c>
      <c r="D237" s="495">
        <f>C237*1.05</f>
        <v>0</v>
      </c>
      <c r="E237" s="496">
        <f>D237*1.05</f>
        <v>0</v>
      </c>
    </row>
    <row r="238" spans="1:5" ht="15.65" x14ac:dyDescent="0.3">
      <c r="A238" s="490"/>
      <c r="B238" s="554"/>
      <c r="C238" s="495"/>
      <c r="D238" s="495"/>
      <c r="E238" s="496"/>
    </row>
    <row r="239" spans="1:5" ht="15.65" x14ac:dyDescent="0.3">
      <c r="A239" s="487"/>
      <c r="B239" s="550" t="s">
        <v>406</v>
      </c>
      <c r="C239" s="501">
        <f>C147+C150+C153+C157+C161+C164+C167+C171+C176+C182+C187+C190+C197+C200+C203+C207+C211+C213+C218+C220+C226+C228+C231+C235</f>
        <v>85439973</v>
      </c>
      <c r="D239" s="501">
        <f t="shared" ref="D239:E239" si="57">D147+D150+D153+D157+D161+D164+D167+D171+D176+D182+D187+D190+D197+D200+D203+D207+D211+D213+D218+D220+D226+D228+D231+D235</f>
        <v>88758732.300000012</v>
      </c>
      <c r="E239" s="502">
        <f t="shared" si="57"/>
        <v>93196668.914999992</v>
      </c>
    </row>
    <row r="240" spans="1:5" ht="15.65" x14ac:dyDescent="0.3">
      <c r="A240" s="487"/>
      <c r="B240" s="550" t="s">
        <v>88</v>
      </c>
      <c r="C240" s="488">
        <v>0</v>
      </c>
      <c r="D240" s="488">
        <f>C240*1.05</f>
        <v>0</v>
      </c>
      <c r="E240" s="489">
        <f>D240*1.05</f>
        <v>0</v>
      </c>
    </row>
    <row r="241" spans="1:5" ht="16.25" thickBot="1" x14ac:dyDescent="0.35">
      <c r="A241" s="487"/>
      <c r="B241" s="550" t="s">
        <v>89</v>
      </c>
      <c r="C241" s="503">
        <f>SUM(C239-C240)</f>
        <v>85439973</v>
      </c>
      <c r="D241" s="503">
        <f>SUM(D239-D240)</f>
        <v>88758732.300000012</v>
      </c>
      <c r="E241" s="504">
        <f>SUM(E239-E240)</f>
        <v>93196668.914999992</v>
      </c>
    </row>
    <row r="242" spans="1:5" ht="16.25" thickTop="1" x14ac:dyDescent="0.3">
      <c r="A242" s="487"/>
      <c r="B242" s="550"/>
      <c r="C242" s="505"/>
      <c r="D242" s="505"/>
      <c r="E242" s="506"/>
    </row>
    <row r="243" spans="1:5" ht="15.65" x14ac:dyDescent="0.3">
      <c r="A243" s="490"/>
      <c r="B243" s="550" t="s">
        <v>158</v>
      </c>
      <c r="C243" s="507"/>
      <c r="D243" s="508"/>
      <c r="E243" s="509"/>
    </row>
    <row r="244" spans="1:5" ht="15.65" x14ac:dyDescent="0.3">
      <c r="A244" s="490">
        <v>3110504</v>
      </c>
      <c r="B244" s="549" t="s">
        <v>946</v>
      </c>
      <c r="C244" s="500">
        <v>43500000</v>
      </c>
      <c r="D244" s="495">
        <f t="shared" ref="D244:E249" si="58">C244*1.05</f>
        <v>45675000</v>
      </c>
      <c r="E244" s="496">
        <f t="shared" si="58"/>
        <v>47958750</v>
      </c>
    </row>
    <row r="245" spans="1:5" ht="15.65" x14ac:dyDescent="0.3">
      <c r="A245" s="490">
        <v>3110599</v>
      </c>
      <c r="B245" s="549" t="s">
        <v>94</v>
      </c>
      <c r="C245" s="499">
        <v>0</v>
      </c>
      <c r="D245" s="495">
        <f t="shared" si="58"/>
        <v>0</v>
      </c>
      <c r="E245" s="496">
        <f t="shared" si="58"/>
        <v>0</v>
      </c>
    </row>
    <row r="246" spans="1:5" ht="15.65" x14ac:dyDescent="0.3">
      <c r="A246" s="490">
        <v>3110604</v>
      </c>
      <c r="B246" s="549" t="s">
        <v>451</v>
      </c>
      <c r="C246" s="500">
        <v>7000000</v>
      </c>
      <c r="D246" s="495">
        <f t="shared" si="58"/>
        <v>7350000</v>
      </c>
      <c r="E246" s="496">
        <f t="shared" si="58"/>
        <v>7717500</v>
      </c>
    </row>
    <row r="247" spans="1:5" ht="15.65" x14ac:dyDescent="0.3">
      <c r="A247" s="490">
        <v>3111401</v>
      </c>
      <c r="B247" s="554" t="s">
        <v>449</v>
      </c>
      <c r="C247" s="499">
        <v>0</v>
      </c>
      <c r="D247" s="495">
        <f t="shared" si="58"/>
        <v>0</v>
      </c>
      <c r="E247" s="496">
        <f t="shared" si="58"/>
        <v>0</v>
      </c>
    </row>
    <row r="248" spans="1:5" ht="15.65" x14ac:dyDescent="0.3">
      <c r="A248" s="490">
        <v>3111403</v>
      </c>
      <c r="B248" s="554" t="s">
        <v>327</v>
      </c>
      <c r="C248" s="499">
        <v>0</v>
      </c>
      <c r="D248" s="495">
        <f t="shared" si="58"/>
        <v>0</v>
      </c>
      <c r="E248" s="496">
        <f t="shared" si="58"/>
        <v>0</v>
      </c>
    </row>
    <row r="249" spans="1:5" ht="15.65" x14ac:dyDescent="0.3">
      <c r="A249" s="490">
        <v>3130101</v>
      </c>
      <c r="B249" s="554" t="s">
        <v>947</v>
      </c>
      <c r="C249" s="500">
        <f>41000000-5000000-10000000-10000000</f>
        <v>16000000</v>
      </c>
      <c r="D249" s="495">
        <f t="shared" si="58"/>
        <v>16800000</v>
      </c>
      <c r="E249" s="496">
        <f t="shared" si="58"/>
        <v>17640000</v>
      </c>
    </row>
    <row r="250" spans="1:5" ht="15.65" x14ac:dyDescent="0.3">
      <c r="A250" s="490"/>
      <c r="B250" s="554"/>
      <c r="C250" s="495"/>
      <c r="D250" s="495"/>
      <c r="E250" s="496"/>
    </row>
    <row r="251" spans="1:5" ht="16.25" thickBot="1" x14ac:dyDescent="0.35">
      <c r="A251" s="487"/>
      <c r="B251" s="550" t="s">
        <v>452</v>
      </c>
      <c r="C251" s="503">
        <f>SUM(C244:C249)</f>
        <v>66500000</v>
      </c>
      <c r="D251" s="503">
        <f t="shared" ref="D251:E251" si="59">SUM(D244:D249)</f>
        <v>69825000</v>
      </c>
      <c r="E251" s="504">
        <f t="shared" si="59"/>
        <v>73316250</v>
      </c>
    </row>
    <row r="252" spans="1:5" ht="16.75" thickTop="1" thickBot="1" x14ac:dyDescent="0.35">
      <c r="A252" s="510"/>
      <c r="B252" s="556"/>
      <c r="C252" s="511"/>
      <c r="D252" s="511"/>
      <c r="E252" s="512"/>
    </row>
    <row r="253" spans="1:5" ht="16.25" thickBot="1" x14ac:dyDescent="0.35">
      <c r="A253" s="513"/>
      <c r="B253" s="557" t="s">
        <v>96</v>
      </c>
      <c r="C253" s="514">
        <f>C241+C251</f>
        <v>151939973</v>
      </c>
      <c r="D253" s="514">
        <f>D241+D251</f>
        <v>158583732.30000001</v>
      </c>
      <c r="E253" s="515">
        <f>E241+E251</f>
        <v>166512918.91499999</v>
      </c>
    </row>
    <row r="255" spans="1:5" ht="15.65" x14ac:dyDescent="0.3">
      <c r="A255" s="856" t="s">
        <v>948</v>
      </c>
      <c r="B255" s="857"/>
      <c r="C255" s="857"/>
      <c r="D255" s="857"/>
      <c r="E255" s="858"/>
    </row>
    <row r="256" spans="1:5" x14ac:dyDescent="0.35">
      <c r="A256" s="859" t="s">
        <v>949</v>
      </c>
      <c r="B256" s="860" t="s">
        <v>950</v>
      </c>
      <c r="C256" s="861" t="s">
        <v>951</v>
      </c>
      <c r="D256" s="843" t="s">
        <v>805</v>
      </c>
      <c r="E256" s="843"/>
    </row>
    <row r="257" spans="1:5" x14ac:dyDescent="0.35">
      <c r="A257" s="859"/>
      <c r="B257" s="860"/>
      <c r="C257" s="861"/>
      <c r="D257" s="418" t="s">
        <v>806</v>
      </c>
      <c r="E257" s="418" t="s">
        <v>807</v>
      </c>
    </row>
    <row r="258" spans="1:5" ht="15.65" x14ac:dyDescent="0.3">
      <c r="A258" s="516" t="s">
        <v>185</v>
      </c>
      <c r="B258" s="426" t="s">
        <v>186</v>
      </c>
      <c r="C258" s="427">
        <f>C259</f>
        <v>16317362</v>
      </c>
      <c r="D258" s="427">
        <f>1.05*C258</f>
        <v>17133230.100000001</v>
      </c>
      <c r="E258" s="427">
        <f>1.05*D258</f>
        <v>17989891.605000004</v>
      </c>
    </row>
    <row r="259" spans="1:5" ht="15.65" x14ac:dyDescent="0.3">
      <c r="A259" s="517" t="s">
        <v>952</v>
      </c>
      <c r="B259" s="423" t="s">
        <v>99</v>
      </c>
      <c r="C259" s="424">
        <f>16317362</f>
        <v>16317362</v>
      </c>
      <c r="D259" s="424">
        <f t="shared" ref="D259:E274" si="60">1.05*C259</f>
        <v>17133230.100000001</v>
      </c>
      <c r="E259" s="424">
        <f t="shared" si="60"/>
        <v>17989891.605000004</v>
      </c>
    </row>
    <row r="260" spans="1:5" ht="15.65" x14ac:dyDescent="0.3">
      <c r="A260" s="516" t="s">
        <v>953</v>
      </c>
      <c r="B260" s="426" t="s">
        <v>23</v>
      </c>
      <c r="C260" s="427">
        <f>C261+C262</f>
        <v>750000</v>
      </c>
      <c r="D260" s="427">
        <f t="shared" si="60"/>
        <v>787500</v>
      </c>
      <c r="E260" s="427">
        <f t="shared" si="60"/>
        <v>826875</v>
      </c>
    </row>
    <row r="261" spans="1:5" ht="15.65" x14ac:dyDescent="0.3">
      <c r="A261" s="517" t="s">
        <v>954</v>
      </c>
      <c r="B261" s="423" t="s">
        <v>102</v>
      </c>
      <c r="C261" s="424">
        <v>550000</v>
      </c>
      <c r="D261" s="424">
        <f t="shared" si="60"/>
        <v>577500</v>
      </c>
      <c r="E261" s="424">
        <f t="shared" si="60"/>
        <v>606375</v>
      </c>
    </row>
    <row r="262" spans="1:5" ht="15.65" x14ac:dyDescent="0.3">
      <c r="A262" s="517" t="s">
        <v>955</v>
      </c>
      <c r="B262" s="423" t="s">
        <v>104</v>
      </c>
      <c r="C262" s="424">
        <v>200000</v>
      </c>
      <c r="D262" s="424">
        <f t="shared" si="60"/>
        <v>210000</v>
      </c>
      <c r="E262" s="424">
        <f t="shared" si="60"/>
        <v>220500</v>
      </c>
    </row>
    <row r="263" spans="1:5" ht="15.65" x14ac:dyDescent="0.3">
      <c r="A263" s="516" t="s">
        <v>956</v>
      </c>
      <c r="B263" s="426" t="s">
        <v>194</v>
      </c>
      <c r="C263" s="427">
        <f>C264</f>
        <v>500000</v>
      </c>
      <c r="D263" s="427">
        <f t="shared" si="60"/>
        <v>525000</v>
      </c>
      <c r="E263" s="427">
        <f t="shared" si="60"/>
        <v>551250</v>
      </c>
    </row>
    <row r="264" spans="1:5" ht="15.65" x14ac:dyDescent="0.3">
      <c r="A264" s="517" t="s">
        <v>957</v>
      </c>
      <c r="B264" s="423" t="s">
        <v>634</v>
      </c>
      <c r="C264" s="424">
        <v>500000</v>
      </c>
      <c r="D264" s="424">
        <f t="shared" si="60"/>
        <v>525000</v>
      </c>
      <c r="E264" s="424">
        <f t="shared" si="60"/>
        <v>551250</v>
      </c>
    </row>
    <row r="265" spans="1:5" ht="15.65" x14ac:dyDescent="0.3">
      <c r="A265" s="516" t="s">
        <v>195</v>
      </c>
      <c r="B265" s="426" t="s">
        <v>301</v>
      </c>
      <c r="C265" s="427">
        <f>C266+C267+C268</f>
        <v>8000000</v>
      </c>
      <c r="D265" s="427">
        <f t="shared" si="60"/>
        <v>8400000</v>
      </c>
      <c r="E265" s="427">
        <f t="shared" si="60"/>
        <v>8820000</v>
      </c>
    </row>
    <row r="266" spans="1:5" ht="15.65" x14ac:dyDescent="0.3">
      <c r="A266" s="517" t="s">
        <v>958</v>
      </c>
      <c r="B266" s="423" t="s">
        <v>248</v>
      </c>
      <c r="C266" s="424">
        <v>2000000</v>
      </c>
      <c r="D266" s="424">
        <f t="shared" si="60"/>
        <v>2100000</v>
      </c>
      <c r="E266" s="424">
        <f t="shared" si="60"/>
        <v>2205000</v>
      </c>
    </row>
    <row r="267" spans="1:5" ht="15.65" x14ac:dyDescent="0.3">
      <c r="A267" s="517" t="s">
        <v>114</v>
      </c>
      <c r="B267" s="423" t="s">
        <v>637</v>
      </c>
      <c r="C267" s="424">
        <v>4500000</v>
      </c>
      <c r="D267" s="424">
        <f t="shared" si="60"/>
        <v>4725000</v>
      </c>
      <c r="E267" s="424">
        <f t="shared" si="60"/>
        <v>4961250</v>
      </c>
    </row>
    <row r="268" spans="1:5" ht="15.65" x14ac:dyDescent="0.3">
      <c r="A268" s="517" t="s">
        <v>33</v>
      </c>
      <c r="B268" s="423" t="s">
        <v>116</v>
      </c>
      <c r="C268" s="424">
        <v>1500000</v>
      </c>
      <c r="D268" s="424">
        <f t="shared" si="60"/>
        <v>1575000</v>
      </c>
      <c r="E268" s="424">
        <f t="shared" si="60"/>
        <v>1653750</v>
      </c>
    </row>
    <row r="269" spans="1:5" ht="15.65" x14ac:dyDescent="0.3">
      <c r="A269" s="516" t="s">
        <v>199</v>
      </c>
      <c r="B269" s="426" t="s">
        <v>302</v>
      </c>
      <c r="C269" s="518">
        <f>SUM(C270+C271)</f>
        <v>2500000</v>
      </c>
      <c r="D269" s="518">
        <f t="shared" si="60"/>
        <v>2625000</v>
      </c>
      <c r="E269" s="518">
        <f t="shared" si="60"/>
        <v>2756250</v>
      </c>
    </row>
    <row r="270" spans="1:5" ht="15.65" x14ac:dyDescent="0.3">
      <c r="A270" s="517" t="s">
        <v>200</v>
      </c>
      <c r="B270" s="423" t="s">
        <v>201</v>
      </c>
      <c r="C270" s="424">
        <v>1500000</v>
      </c>
      <c r="D270" s="424">
        <f t="shared" si="60"/>
        <v>1575000</v>
      </c>
      <c r="E270" s="424">
        <f t="shared" si="60"/>
        <v>1653750</v>
      </c>
    </row>
    <row r="271" spans="1:5" ht="15.65" x14ac:dyDescent="0.3">
      <c r="A271" s="517" t="s">
        <v>959</v>
      </c>
      <c r="B271" s="423" t="s">
        <v>125</v>
      </c>
      <c r="C271" s="424">
        <v>1000000</v>
      </c>
      <c r="D271" s="424">
        <f t="shared" si="60"/>
        <v>1050000</v>
      </c>
      <c r="E271" s="424">
        <f t="shared" si="60"/>
        <v>1102500</v>
      </c>
    </row>
    <row r="272" spans="1:5" ht="15.65" x14ac:dyDescent="0.3">
      <c r="A272" s="516" t="s">
        <v>203</v>
      </c>
      <c r="B272" s="426" t="s">
        <v>640</v>
      </c>
      <c r="C272" s="427">
        <f>SUM(C273+C274)</f>
        <v>3436317</v>
      </c>
      <c r="D272" s="427">
        <f t="shared" si="60"/>
        <v>3608132.85</v>
      </c>
      <c r="E272" s="427">
        <f t="shared" si="60"/>
        <v>3788539.4925000002</v>
      </c>
    </row>
    <row r="273" spans="1:5" ht="15.65" x14ac:dyDescent="0.3">
      <c r="A273" s="517" t="s">
        <v>960</v>
      </c>
      <c r="B273" s="423" t="s">
        <v>128</v>
      </c>
      <c r="C273" s="424">
        <v>1436317</v>
      </c>
      <c r="D273" s="424">
        <f t="shared" si="60"/>
        <v>1508132.85</v>
      </c>
      <c r="E273" s="424">
        <f t="shared" si="60"/>
        <v>1583539.4925000002</v>
      </c>
    </row>
    <row r="274" spans="1:5" ht="15.65" x14ac:dyDescent="0.3">
      <c r="A274" s="517" t="s">
        <v>129</v>
      </c>
      <c r="B274" s="423" t="s">
        <v>130</v>
      </c>
      <c r="C274" s="424">
        <v>2000000</v>
      </c>
      <c r="D274" s="424">
        <f t="shared" si="60"/>
        <v>2100000</v>
      </c>
      <c r="E274" s="424">
        <f t="shared" si="60"/>
        <v>2205000</v>
      </c>
    </row>
    <row r="275" spans="1:5" ht="15.65" x14ac:dyDescent="0.3">
      <c r="A275" s="516" t="s">
        <v>961</v>
      </c>
      <c r="B275" s="426" t="s">
        <v>249</v>
      </c>
      <c r="C275" s="427">
        <f>SUM(C276+C277)</f>
        <v>12604538</v>
      </c>
      <c r="D275" s="427">
        <f t="shared" ref="D275:E290" si="61">1.05*C275</f>
        <v>13234764.9</v>
      </c>
      <c r="E275" s="427">
        <f t="shared" si="61"/>
        <v>13896503.145000001</v>
      </c>
    </row>
    <row r="276" spans="1:5" ht="15.65" x14ac:dyDescent="0.3">
      <c r="A276" s="517" t="s">
        <v>131</v>
      </c>
      <c r="B276" s="423" t="s">
        <v>468</v>
      </c>
      <c r="C276" s="424">
        <f>-2000000+4014000</f>
        <v>2014000</v>
      </c>
      <c r="D276" s="424">
        <f t="shared" si="61"/>
        <v>2114700</v>
      </c>
      <c r="E276" s="424">
        <f t="shared" si="61"/>
        <v>2220435</v>
      </c>
    </row>
    <row r="277" spans="1:5" ht="15.65" x14ac:dyDescent="0.3">
      <c r="A277" s="517" t="s">
        <v>962</v>
      </c>
      <c r="B277" s="423" t="s">
        <v>207</v>
      </c>
      <c r="C277" s="424">
        <f>12000000+3590538-5000000</f>
        <v>10590538</v>
      </c>
      <c r="D277" s="424">
        <f t="shared" si="61"/>
        <v>11120064.9</v>
      </c>
      <c r="E277" s="424">
        <f t="shared" si="61"/>
        <v>11676068.145000001</v>
      </c>
    </row>
    <row r="278" spans="1:5" ht="15.65" x14ac:dyDescent="0.3">
      <c r="A278" s="516" t="s">
        <v>963</v>
      </c>
      <c r="B278" s="426" t="s">
        <v>209</v>
      </c>
      <c r="C278" s="427">
        <f>SUM(C279)</f>
        <v>300000</v>
      </c>
      <c r="D278" s="427">
        <f t="shared" si="61"/>
        <v>315000</v>
      </c>
      <c r="E278" s="427">
        <f t="shared" si="61"/>
        <v>330750</v>
      </c>
    </row>
    <row r="279" spans="1:5" ht="15.65" x14ac:dyDescent="0.3">
      <c r="A279" s="517" t="s">
        <v>964</v>
      </c>
      <c r="B279" s="423" t="s">
        <v>66</v>
      </c>
      <c r="C279" s="424">
        <v>300000</v>
      </c>
      <c r="D279" s="424">
        <f t="shared" si="61"/>
        <v>315000</v>
      </c>
      <c r="E279" s="424">
        <f t="shared" si="61"/>
        <v>330750</v>
      </c>
    </row>
    <row r="280" spans="1:5" ht="15.65" x14ac:dyDescent="0.3">
      <c r="A280" s="516" t="s">
        <v>965</v>
      </c>
      <c r="B280" s="426" t="s">
        <v>51</v>
      </c>
      <c r="C280" s="427">
        <f>C282+C281</f>
        <v>800000</v>
      </c>
      <c r="D280" s="427">
        <f t="shared" si="61"/>
        <v>840000</v>
      </c>
      <c r="E280" s="427">
        <f t="shared" si="61"/>
        <v>882000</v>
      </c>
    </row>
    <row r="281" spans="1:5" ht="15.65" x14ac:dyDescent="0.3">
      <c r="A281" s="517" t="s">
        <v>216</v>
      </c>
      <c r="B281" s="423" t="s">
        <v>250</v>
      </c>
      <c r="C281" s="424">
        <v>100000</v>
      </c>
      <c r="D281" s="424">
        <f t="shared" si="61"/>
        <v>105000</v>
      </c>
      <c r="E281" s="424">
        <f t="shared" si="61"/>
        <v>110250</v>
      </c>
    </row>
    <row r="282" spans="1:5" ht="15.65" x14ac:dyDescent="0.3">
      <c r="A282" s="519">
        <v>2211016</v>
      </c>
      <c r="B282" s="423" t="s">
        <v>966</v>
      </c>
      <c r="C282" s="424">
        <v>700000</v>
      </c>
      <c r="D282" s="424">
        <f t="shared" si="61"/>
        <v>735000</v>
      </c>
      <c r="E282" s="424">
        <f t="shared" si="61"/>
        <v>771750</v>
      </c>
    </row>
    <row r="283" spans="1:5" ht="15.65" x14ac:dyDescent="0.3">
      <c r="A283" s="516" t="s">
        <v>967</v>
      </c>
      <c r="B283" s="426" t="s">
        <v>56</v>
      </c>
      <c r="C283" s="427">
        <f>C284+C285</f>
        <v>1700000</v>
      </c>
      <c r="D283" s="427">
        <f t="shared" si="61"/>
        <v>1785000</v>
      </c>
      <c r="E283" s="427">
        <f t="shared" si="61"/>
        <v>1874250</v>
      </c>
    </row>
    <row r="284" spans="1:5" ht="15.65" x14ac:dyDescent="0.3">
      <c r="A284" s="517" t="s">
        <v>138</v>
      </c>
      <c r="B284" s="423" t="s">
        <v>252</v>
      </c>
      <c r="C284" s="424">
        <v>1000000</v>
      </c>
      <c r="D284" s="424">
        <f t="shared" si="61"/>
        <v>1050000</v>
      </c>
      <c r="E284" s="424">
        <f t="shared" si="61"/>
        <v>1102500</v>
      </c>
    </row>
    <row r="285" spans="1:5" ht="15.65" x14ac:dyDescent="0.3">
      <c r="A285" s="517" t="s">
        <v>968</v>
      </c>
      <c r="B285" s="423" t="s">
        <v>230</v>
      </c>
      <c r="C285" s="424">
        <v>700000</v>
      </c>
      <c r="D285" s="424">
        <f t="shared" si="61"/>
        <v>735000</v>
      </c>
      <c r="E285" s="424">
        <f t="shared" si="61"/>
        <v>771750</v>
      </c>
    </row>
    <row r="286" spans="1:5" ht="15.65" x14ac:dyDescent="0.3">
      <c r="A286" s="516" t="s">
        <v>969</v>
      </c>
      <c r="B286" s="426" t="s">
        <v>60</v>
      </c>
      <c r="C286" s="427">
        <f>C287</f>
        <v>1320000</v>
      </c>
      <c r="D286" s="427">
        <f t="shared" si="61"/>
        <v>1386000</v>
      </c>
      <c r="E286" s="427">
        <f t="shared" si="61"/>
        <v>1455300</v>
      </c>
    </row>
    <row r="287" spans="1:5" ht="15.65" x14ac:dyDescent="0.3">
      <c r="A287" s="517" t="s">
        <v>970</v>
      </c>
      <c r="B287" s="423" t="s">
        <v>253</v>
      </c>
      <c r="C287" s="424">
        <v>1320000</v>
      </c>
      <c r="D287" s="424">
        <f t="shared" si="61"/>
        <v>1386000</v>
      </c>
      <c r="E287" s="424">
        <f t="shared" si="61"/>
        <v>1455300</v>
      </c>
    </row>
    <row r="288" spans="1:5" ht="15.65" x14ac:dyDescent="0.3">
      <c r="A288" s="516" t="s">
        <v>971</v>
      </c>
      <c r="B288" s="426" t="s">
        <v>62</v>
      </c>
      <c r="C288" s="427">
        <f>C289+C290</f>
        <v>620000</v>
      </c>
      <c r="D288" s="427">
        <f t="shared" si="61"/>
        <v>651000</v>
      </c>
      <c r="E288" s="427">
        <f t="shared" si="61"/>
        <v>683550</v>
      </c>
    </row>
    <row r="289" spans="1:5" ht="15.65" x14ac:dyDescent="0.3">
      <c r="A289" s="517" t="s">
        <v>972</v>
      </c>
      <c r="B289" s="423" t="s">
        <v>65</v>
      </c>
      <c r="C289" s="424">
        <v>30000</v>
      </c>
      <c r="D289" s="424">
        <f t="shared" si="61"/>
        <v>31500</v>
      </c>
      <c r="E289" s="424">
        <f t="shared" si="61"/>
        <v>33075</v>
      </c>
    </row>
    <row r="290" spans="1:5" ht="15.65" x14ac:dyDescent="0.3">
      <c r="A290" s="520">
        <v>2210104</v>
      </c>
      <c r="B290" s="423" t="s">
        <v>973</v>
      </c>
      <c r="C290" s="521">
        <f>1180000/2</f>
        <v>590000</v>
      </c>
      <c r="D290" s="521">
        <f t="shared" si="61"/>
        <v>619500</v>
      </c>
      <c r="E290" s="521">
        <f t="shared" si="61"/>
        <v>650475</v>
      </c>
    </row>
    <row r="291" spans="1:5" ht="15.65" x14ac:dyDescent="0.3">
      <c r="A291" s="516" t="s">
        <v>237</v>
      </c>
      <c r="B291" s="426" t="s">
        <v>71</v>
      </c>
      <c r="C291" s="427">
        <f>SUM(C292)</f>
        <v>200000</v>
      </c>
      <c r="D291" s="427">
        <f t="shared" ref="D291:E292" si="62">1.05*C291</f>
        <v>210000</v>
      </c>
      <c r="E291" s="427">
        <f t="shared" si="62"/>
        <v>220500</v>
      </c>
    </row>
    <row r="292" spans="1:5" ht="15.65" x14ac:dyDescent="0.3">
      <c r="A292" s="517" t="s">
        <v>974</v>
      </c>
      <c r="B292" s="423" t="s">
        <v>72</v>
      </c>
      <c r="C292" s="522">
        <v>200000</v>
      </c>
      <c r="D292" s="522">
        <f t="shared" si="62"/>
        <v>210000</v>
      </c>
      <c r="E292" s="522">
        <f t="shared" si="62"/>
        <v>220500</v>
      </c>
    </row>
    <row r="293" spans="1:5" ht="15.65" x14ac:dyDescent="0.3">
      <c r="A293" s="516" t="s">
        <v>975</v>
      </c>
      <c r="B293" s="426" t="s">
        <v>73</v>
      </c>
      <c r="C293" s="427">
        <f>C297+C296+C295+C294</f>
        <v>1100000</v>
      </c>
      <c r="D293" s="427">
        <f t="shared" ref="D293:E293" si="63">D294+D295+D296+D297</f>
        <v>1155000</v>
      </c>
      <c r="E293" s="427">
        <f t="shared" si="63"/>
        <v>1212750</v>
      </c>
    </row>
    <row r="294" spans="1:5" ht="15.65" x14ac:dyDescent="0.3">
      <c r="A294" s="74">
        <v>2220201</v>
      </c>
      <c r="B294" s="471" t="s">
        <v>74</v>
      </c>
      <c r="C294" s="427">
        <v>500000</v>
      </c>
      <c r="D294" s="427">
        <f t="shared" ref="D294:E307" si="64">1.05*C294</f>
        <v>525000</v>
      </c>
      <c r="E294" s="427">
        <f t="shared" si="64"/>
        <v>551250</v>
      </c>
    </row>
    <row r="295" spans="1:5" ht="15.65" x14ac:dyDescent="0.3">
      <c r="A295" s="517" t="s">
        <v>976</v>
      </c>
      <c r="B295" s="423" t="s">
        <v>75</v>
      </c>
      <c r="C295" s="424">
        <v>300000</v>
      </c>
      <c r="D295" s="424">
        <f t="shared" si="64"/>
        <v>315000</v>
      </c>
      <c r="E295" s="424">
        <f t="shared" si="64"/>
        <v>330750</v>
      </c>
    </row>
    <row r="296" spans="1:5" ht="15.65" x14ac:dyDescent="0.3">
      <c r="A296" s="517" t="s">
        <v>977</v>
      </c>
      <c r="B296" s="423" t="s">
        <v>76</v>
      </c>
      <c r="C296" s="424">
        <v>0</v>
      </c>
      <c r="D296" s="424">
        <f t="shared" si="64"/>
        <v>0</v>
      </c>
      <c r="E296" s="424">
        <f t="shared" si="64"/>
        <v>0</v>
      </c>
    </row>
    <row r="297" spans="1:5" ht="15.65" x14ac:dyDescent="0.3">
      <c r="A297" s="517" t="s">
        <v>978</v>
      </c>
      <c r="B297" s="423" t="s">
        <v>77</v>
      </c>
      <c r="C297" s="424">
        <v>300000</v>
      </c>
      <c r="D297" s="424">
        <f t="shared" si="64"/>
        <v>315000</v>
      </c>
      <c r="E297" s="424">
        <f t="shared" si="64"/>
        <v>330750</v>
      </c>
    </row>
    <row r="298" spans="1:5" ht="15.65" x14ac:dyDescent="0.3">
      <c r="A298" s="523" t="s">
        <v>979</v>
      </c>
      <c r="B298" s="310" t="s">
        <v>980</v>
      </c>
      <c r="C298" s="430">
        <f>C299</f>
        <v>17500000</v>
      </c>
      <c r="D298" s="430">
        <f t="shared" si="64"/>
        <v>18375000</v>
      </c>
      <c r="E298" s="430">
        <f t="shared" si="64"/>
        <v>19293750</v>
      </c>
    </row>
    <row r="299" spans="1:5" ht="15.65" x14ac:dyDescent="0.3">
      <c r="A299" s="524" t="s">
        <v>981</v>
      </c>
      <c r="B299" s="311" t="s">
        <v>735</v>
      </c>
      <c r="C299" s="424">
        <v>17500000</v>
      </c>
      <c r="D299" s="424">
        <f t="shared" si="64"/>
        <v>18375000</v>
      </c>
      <c r="E299" s="424">
        <f t="shared" si="64"/>
        <v>19293750</v>
      </c>
    </row>
    <row r="300" spans="1:5" ht="15.65" x14ac:dyDescent="0.3">
      <c r="A300" s="516" t="s">
        <v>982</v>
      </c>
      <c r="B300" s="426" t="s">
        <v>655</v>
      </c>
      <c r="C300" s="427">
        <f>SUM(C301)</f>
        <v>0</v>
      </c>
      <c r="D300" s="427">
        <f t="shared" si="64"/>
        <v>0</v>
      </c>
      <c r="E300" s="427">
        <f t="shared" si="64"/>
        <v>0</v>
      </c>
    </row>
    <row r="301" spans="1:5" ht="15.65" x14ac:dyDescent="0.3">
      <c r="A301" s="517" t="s">
        <v>983</v>
      </c>
      <c r="B301" s="423" t="s">
        <v>560</v>
      </c>
      <c r="C301" s="424">
        <v>0</v>
      </c>
      <c r="D301" s="424">
        <f t="shared" si="64"/>
        <v>0</v>
      </c>
      <c r="E301" s="424">
        <f t="shared" si="64"/>
        <v>0</v>
      </c>
    </row>
    <row r="302" spans="1:5" ht="15.65" x14ac:dyDescent="0.3">
      <c r="A302" s="516" t="s">
        <v>984</v>
      </c>
      <c r="B302" s="426" t="s">
        <v>985</v>
      </c>
      <c r="C302" s="424">
        <f>C303</f>
        <v>900000</v>
      </c>
      <c r="D302" s="424">
        <f t="shared" si="64"/>
        <v>945000</v>
      </c>
      <c r="E302" s="424">
        <f t="shared" si="64"/>
        <v>992250</v>
      </c>
    </row>
    <row r="303" spans="1:5" ht="15.65" x14ac:dyDescent="0.3">
      <c r="A303" s="517" t="s">
        <v>275</v>
      </c>
      <c r="B303" s="423" t="s">
        <v>986</v>
      </c>
      <c r="C303" s="424">
        <v>900000</v>
      </c>
      <c r="D303" s="424">
        <f t="shared" si="64"/>
        <v>945000</v>
      </c>
      <c r="E303" s="424">
        <f t="shared" si="64"/>
        <v>992250</v>
      </c>
    </row>
    <row r="304" spans="1:5" ht="15.65" x14ac:dyDescent="0.3">
      <c r="A304" s="516" t="s">
        <v>987</v>
      </c>
      <c r="B304" s="426" t="s">
        <v>988</v>
      </c>
      <c r="C304" s="427">
        <f>SUM(C305+C306)</f>
        <v>2500000</v>
      </c>
      <c r="D304" s="427">
        <f t="shared" si="64"/>
        <v>2625000</v>
      </c>
      <c r="E304" s="427">
        <f t="shared" si="64"/>
        <v>2756250</v>
      </c>
    </row>
    <row r="305" spans="1:5" ht="15.65" x14ac:dyDescent="0.3">
      <c r="A305" s="517" t="s">
        <v>989</v>
      </c>
      <c r="B305" s="423" t="s">
        <v>155</v>
      </c>
      <c r="C305" s="424">
        <v>1500000</v>
      </c>
      <c r="D305" s="424">
        <f t="shared" si="64"/>
        <v>1575000</v>
      </c>
      <c r="E305" s="424">
        <f t="shared" si="64"/>
        <v>1653750</v>
      </c>
    </row>
    <row r="306" spans="1:5" ht="15.65" x14ac:dyDescent="0.3">
      <c r="A306" s="517" t="s">
        <v>990</v>
      </c>
      <c r="B306" s="423" t="s">
        <v>991</v>
      </c>
      <c r="C306" s="424">
        <v>1000000</v>
      </c>
      <c r="D306" s="424">
        <f t="shared" si="64"/>
        <v>1050000</v>
      </c>
      <c r="E306" s="424">
        <f t="shared" si="64"/>
        <v>1102500</v>
      </c>
    </row>
    <row r="307" spans="1:5" ht="15.65" x14ac:dyDescent="0.3">
      <c r="A307" s="525"/>
      <c r="B307" s="435" t="s">
        <v>862</v>
      </c>
      <c r="C307" s="430">
        <f>C304+C300+C298+C293+C291+C288+C286+C283+C280+C278+C275+C272+C269+C265+C263+C260+C258+C302</f>
        <v>71048217</v>
      </c>
      <c r="D307" s="430">
        <f t="shared" si="64"/>
        <v>74600627.850000009</v>
      </c>
      <c r="E307" s="430">
        <f t="shared" si="64"/>
        <v>78330659.242500007</v>
      </c>
    </row>
    <row r="308" spans="1:5" ht="15.65" x14ac:dyDescent="0.3">
      <c r="A308" s="525"/>
      <c r="B308" s="435"/>
      <c r="C308" s="430"/>
      <c r="D308" s="427"/>
      <c r="E308" s="427"/>
    </row>
    <row r="309" spans="1:5" ht="15.65" x14ac:dyDescent="0.3">
      <c r="A309" s="526"/>
      <c r="B309" s="436" t="s">
        <v>385</v>
      </c>
      <c r="C309" s="430"/>
      <c r="D309" s="427"/>
      <c r="E309" s="427"/>
    </row>
    <row r="310" spans="1:5" ht="15.65" x14ac:dyDescent="0.3">
      <c r="A310" s="523" t="s">
        <v>992</v>
      </c>
      <c r="B310" s="310" t="s">
        <v>30</v>
      </c>
      <c r="C310" s="437">
        <f>C311</f>
        <v>0</v>
      </c>
      <c r="D310" s="437">
        <f t="shared" ref="D310:E323" si="65">1.05*C310</f>
        <v>0</v>
      </c>
      <c r="E310" s="437">
        <f t="shared" si="65"/>
        <v>0</v>
      </c>
    </row>
    <row r="311" spans="1:5" ht="15.65" x14ac:dyDescent="0.3">
      <c r="A311" s="524" t="s">
        <v>993</v>
      </c>
      <c r="B311" s="311" t="s">
        <v>116</v>
      </c>
      <c r="C311" s="438"/>
      <c r="D311" s="438">
        <f t="shared" si="65"/>
        <v>0</v>
      </c>
      <c r="E311" s="438">
        <f t="shared" si="65"/>
        <v>0</v>
      </c>
    </row>
    <row r="312" spans="1:5" ht="15.65" x14ac:dyDescent="0.3">
      <c r="A312" s="524" t="s">
        <v>557</v>
      </c>
      <c r="B312" s="311" t="s">
        <v>472</v>
      </c>
      <c r="C312" s="438"/>
      <c r="D312" s="438">
        <f t="shared" si="65"/>
        <v>0</v>
      </c>
      <c r="E312" s="438">
        <f t="shared" si="65"/>
        <v>0</v>
      </c>
    </row>
    <row r="313" spans="1:5" ht="15.65" x14ac:dyDescent="0.3">
      <c r="A313" s="523" t="s">
        <v>994</v>
      </c>
      <c r="B313" s="310" t="s">
        <v>735</v>
      </c>
      <c r="C313" s="437">
        <f>C314</f>
        <v>0</v>
      </c>
      <c r="D313" s="437">
        <f t="shared" si="65"/>
        <v>0</v>
      </c>
      <c r="E313" s="437">
        <f t="shared" si="65"/>
        <v>0</v>
      </c>
    </row>
    <row r="314" spans="1:5" ht="15.65" x14ac:dyDescent="0.3">
      <c r="A314" s="524" t="s">
        <v>981</v>
      </c>
      <c r="B314" s="311" t="s">
        <v>735</v>
      </c>
      <c r="C314" s="438">
        <v>0</v>
      </c>
      <c r="D314" s="438">
        <f t="shared" si="65"/>
        <v>0</v>
      </c>
      <c r="E314" s="438">
        <f t="shared" si="65"/>
        <v>0</v>
      </c>
    </row>
    <row r="315" spans="1:5" ht="15.65" x14ac:dyDescent="0.3">
      <c r="A315" s="523" t="s">
        <v>995</v>
      </c>
      <c r="B315" s="310" t="s">
        <v>996</v>
      </c>
      <c r="C315" s="437">
        <f>C316</f>
        <v>3000000</v>
      </c>
      <c r="D315" s="437">
        <f t="shared" si="65"/>
        <v>3150000</v>
      </c>
      <c r="E315" s="437">
        <f t="shared" si="65"/>
        <v>3307500</v>
      </c>
    </row>
    <row r="316" spans="1:5" ht="15.65" x14ac:dyDescent="0.3">
      <c r="A316" s="524" t="s">
        <v>997</v>
      </c>
      <c r="B316" s="311" t="s">
        <v>998</v>
      </c>
      <c r="C316" s="438">
        <v>3000000</v>
      </c>
      <c r="D316" s="438">
        <f t="shared" si="65"/>
        <v>3150000</v>
      </c>
      <c r="E316" s="438">
        <f t="shared" si="65"/>
        <v>3307500</v>
      </c>
    </row>
    <row r="317" spans="1:5" ht="15.65" x14ac:dyDescent="0.3">
      <c r="A317" s="523" t="s">
        <v>999</v>
      </c>
      <c r="B317" s="310" t="s">
        <v>1000</v>
      </c>
      <c r="C317" s="437">
        <f>C318+C319</f>
        <v>31611882</v>
      </c>
      <c r="D317" s="437">
        <f t="shared" si="65"/>
        <v>33192476.100000001</v>
      </c>
      <c r="E317" s="437">
        <f t="shared" si="65"/>
        <v>34852099.905000001</v>
      </c>
    </row>
    <row r="318" spans="1:5" ht="15.65" x14ac:dyDescent="0.3">
      <c r="A318" s="524" t="s">
        <v>1001</v>
      </c>
      <c r="B318" s="311" t="s">
        <v>583</v>
      </c>
      <c r="C318" s="442">
        <f>47538823+4000000-10000000-8000000-1926941</f>
        <v>31611882</v>
      </c>
      <c r="D318" s="442">
        <f t="shared" si="65"/>
        <v>33192476.100000001</v>
      </c>
      <c r="E318" s="442">
        <f t="shared" si="65"/>
        <v>34852099.905000001</v>
      </c>
    </row>
    <row r="319" spans="1:5" ht="15.65" x14ac:dyDescent="0.3">
      <c r="A319" s="524" t="s">
        <v>1002</v>
      </c>
      <c r="B319" s="311" t="s">
        <v>583</v>
      </c>
      <c r="C319" s="438"/>
      <c r="D319" s="438">
        <f t="shared" si="65"/>
        <v>0</v>
      </c>
      <c r="E319" s="438">
        <f t="shared" si="65"/>
        <v>0</v>
      </c>
    </row>
    <row r="320" spans="1:5" ht="15.65" x14ac:dyDescent="0.3">
      <c r="A320" s="523" t="s">
        <v>1003</v>
      </c>
      <c r="B320" s="310" t="s">
        <v>1004</v>
      </c>
      <c r="C320" s="437">
        <f>C321</f>
        <v>2000000</v>
      </c>
      <c r="D320" s="437">
        <f t="shared" si="65"/>
        <v>2100000</v>
      </c>
      <c r="E320" s="437">
        <f t="shared" si="65"/>
        <v>2205000</v>
      </c>
    </row>
    <row r="321" spans="1:5" ht="15.65" x14ac:dyDescent="0.3">
      <c r="A321" s="524" t="s">
        <v>1005</v>
      </c>
      <c r="B321" s="311" t="s">
        <v>451</v>
      </c>
      <c r="C321" s="438">
        <f>-8000000+10000000</f>
        <v>2000000</v>
      </c>
      <c r="D321" s="438">
        <f t="shared" si="65"/>
        <v>2100000</v>
      </c>
      <c r="E321" s="438">
        <f t="shared" si="65"/>
        <v>2205000</v>
      </c>
    </row>
    <row r="322" spans="1:5" ht="15.65" x14ac:dyDescent="0.3">
      <c r="A322" s="527"/>
      <c r="B322" s="443" t="s">
        <v>871</v>
      </c>
      <c r="C322" s="444">
        <f>C320+C317+C315+C313</f>
        <v>36611882</v>
      </c>
      <c r="D322" s="444">
        <f t="shared" si="65"/>
        <v>38442476.100000001</v>
      </c>
      <c r="E322" s="444">
        <f t="shared" si="65"/>
        <v>40364599.905000001</v>
      </c>
    </row>
    <row r="323" spans="1:5" ht="15.65" x14ac:dyDescent="0.3">
      <c r="A323" s="528"/>
      <c r="B323" s="27" t="s">
        <v>886</v>
      </c>
      <c r="C323" s="454">
        <f>C322+C307</f>
        <v>107660099</v>
      </c>
      <c r="D323" s="454">
        <f t="shared" si="65"/>
        <v>113043103.95</v>
      </c>
      <c r="E323" s="454">
        <f t="shared" si="65"/>
        <v>118695259.14750001</v>
      </c>
    </row>
    <row r="324" spans="1:5" ht="16.25" x14ac:dyDescent="0.35">
      <c r="B324" s="739" t="s">
        <v>1277</v>
      </c>
      <c r="C324" s="744">
        <f>C323+C253+C142+C67</f>
        <v>793173691.02499998</v>
      </c>
      <c r="D324" s="744">
        <f t="shared" ref="D324:E324" si="66">D323+D253+D142+D67</f>
        <v>830597283.10125005</v>
      </c>
      <c r="E324" s="744">
        <f t="shared" si="66"/>
        <v>872127147.25631249</v>
      </c>
    </row>
    <row r="325" spans="1:5" ht="16.25" x14ac:dyDescent="0.35">
      <c r="B325" s="739" t="s">
        <v>1279</v>
      </c>
      <c r="C325" s="744">
        <f>'Local Rev.'!D54+'Local Rev.'!D61+'Local Rev.'!D65</f>
        <v>216882022.57188118</v>
      </c>
      <c r="D325" s="733">
        <f t="shared" ref="D325" si="67">1.05*C325</f>
        <v>227726123.70047525</v>
      </c>
      <c r="E325" s="733">
        <f t="shared" ref="E325" si="68">1.05*D325</f>
        <v>239112429.88549903</v>
      </c>
    </row>
    <row r="326" spans="1:5" ht="16.25" x14ac:dyDescent="0.35">
      <c r="B326" s="739" t="s">
        <v>1278</v>
      </c>
      <c r="C326" s="744">
        <f>C324-C325</f>
        <v>576291668.4531188</v>
      </c>
      <c r="D326" s="744">
        <f t="shared" ref="D326:E326" si="69">D324-D325</f>
        <v>602871159.40077484</v>
      </c>
      <c r="E326" s="744">
        <f t="shared" si="69"/>
        <v>633014717.37081349</v>
      </c>
    </row>
  </sheetData>
  <protectedRanges>
    <protectedRange password="C43E" sqref="A271:B271" name="Range1_9_1_1_3_1_1"/>
    <protectedRange password="C43E" sqref="A273:B274" name="Range1_1_1_1_1_3_1_1"/>
    <protectedRange password="C43E" sqref="A276:B278" name="Range1_2_1_1_1_3_1_1"/>
    <protectedRange password="C43E" sqref="A280:B282" name="Range1_3_1_1_1_3_1_1"/>
    <protectedRange password="C43E" sqref="A283:B287" name="Range1_4_1_1_1_3_1_1"/>
    <protectedRange password="C43E" sqref="A289:B290" name="Range1_5_1_1_1_3_1_1"/>
    <protectedRange password="C43E" sqref="A292:B294" name="Range1_6_1_1_1_3_1_1"/>
    <protectedRange password="C43E" sqref="A296:B298" name="Range1_7_1_1_1_3_1_1"/>
    <protectedRange password="C43E" sqref="A299:B299" name="Range1_8_1_1_1_3_1_1"/>
    <protectedRange password="C43E" sqref="A301:B301" name="Range1_10_1_1_1_3_1_1"/>
    <protectedRange password="C43E" sqref="A303:B303" name="Range1_11_1_1_1_3_1_1"/>
    <protectedRange password="C43E" sqref="A305:B305" name="Range1_12_1_1_1_3_1_1"/>
    <protectedRange password="C43E" sqref="A307:B309 A326:B326 A311:B311" name="Range1_13_1_1_1_3_1_1"/>
    <protectedRange password="C43E" sqref="A313:B316 A317" name="Range1_15_1_1_1_3_1_1"/>
    <protectedRange password="C43E" sqref="A322:B324" name="Range1_16_1_2_1_3_1_1"/>
    <protectedRange password="C43E" sqref="A321" name="Range1_20_1_1_1_3_1_1"/>
    <protectedRange password="C43E" sqref="A320:B320" name="Range1_21_1_1_1_3_1_1"/>
    <protectedRange password="C43E" sqref="A325:B325 A327:B327" name="Range1_16_1_1_1_1_3_1_1"/>
    <protectedRange password="C43E" sqref="A328:B328" name="Range1_18_1_1_1_3_1_1"/>
    <protectedRange password="C43E" sqref="A329:B329" name="Range1_19_1_1_1_3_1_1"/>
    <protectedRange password="C43E" sqref="A332:B332" name="Range1_23_1_1_1_3_1_1"/>
    <protectedRange password="C43E" sqref="A337:B338" name="Range1_24_1_1_1_3_1_1"/>
    <protectedRange password="C43E" sqref="B317" name="Range1_2"/>
    <protectedRange password="C43E" sqref="B321" name="Range1_1_1"/>
    <protectedRange password="C43E" sqref="A318" name="Range1_15_1_1_1_3_1_2"/>
    <protectedRange password="C43E" sqref="B318" name="Range1_1"/>
    <protectedRange password="C43E" sqref="A302:B302" name="Range1_10_1_1_1_3_1_2"/>
    <protectedRange sqref="A71:B71" name="Range1_9_1_1_3_1_1_1"/>
    <protectedRange sqref="A73:B74" name="Range1_1_1_1_1_3_1_1_1"/>
    <protectedRange sqref="A76:B78" name="Range1_2_1_1_1_3_1_1_1"/>
    <protectedRange sqref="A80:B82" name="Range1_3_1_1_1_3_1_1_1"/>
    <protectedRange sqref="A83:B87" name="Range1_4_1_1_1_3_1_1_1"/>
    <protectedRange sqref="A89:B90" name="Range1_5_1_1_1_3_1_1_1"/>
    <protectedRange sqref="A92:B94" name="Range1_6_1_1_1_3_1_1_1"/>
    <protectedRange sqref="A96:B98" name="Range1_7_1_1_1_3_1_1_1"/>
    <protectedRange sqref="A99:B99" name="Range1_8_1_1_1_3_1_1_1"/>
    <protectedRange sqref="A101:B101" name="Range1_10_1_1_1_3_1_1_1"/>
    <protectedRange sqref="A103:B103" name="Range1_11_1_1_1_3_1_1_1"/>
    <protectedRange sqref="A105:B105" name="Range1_12_1_1_1_3_1_1_1"/>
    <protectedRange sqref="A107:B109 A127:B127 A112:B112" name="Range1_13_1_1_1_3_1_1_1"/>
    <protectedRange sqref="A114:B117 A118" name="Range1_15_1_1_1_3_1_1_1"/>
    <protectedRange sqref="A123:B125" name="Range1_16_1_2_1_3_1_1_1"/>
    <protectedRange sqref="A122" name="Range1_20_1_1_1_3_1_1_1"/>
    <protectedRange sqref="A121:B121" name="Range1_21_1_1_1_3_1_1_1"/>
    <protectedRange sqref="A126:B126 A128:B128" name="Range1_16_1_1_1_1_3_1_1_1"/>
    <protectedRange sqref="A129:B129" name="Range1_18_1_1_1_3_1_1_1"/>
    <protectedRange sqref="A130:B130" name="Range1_19_1_1_1_3_1_1_1"/>
    <protectedRange sqref="A133:B133" name="Range1_23_1_1_1_3_1_1_1"/>
    <protectedRange sqref="A139:B140 A111:B111 A138" name="Range1_24_1_1_1_3_1_1_1"/>
    <protectedRange sqref="B118" name="Range1_2_1"/>
    <protectedRange sqref="B122" name="Range1_1_1_1"/>
    <protectedRange sqref="A119" name="Range1_15_1_1_1_3_1_2_1"/>
    <protectedRange sqref="B119" name="Range1_1_2"/>
    <protectedRange sqref="A102:B102" name="Range1_10_1_1_1_3_1_2_1"/>
    <protectedRange password="C43E" sqref="C178" name="Range1_1_3_2_1"/>
    <protectedRange password="C43E" sqref="C172" name="Range1_3_3_1_1_1"/>
    <protectedRange password="C43E" sqref="B190" name="Range1_9_2_1"/>
    <protectedRange password="C43E" sqref="C190" name="Range1_2_1_2_1"/>
    <protectedRange password="C43E" sqref="C200" name="Range1_3_2_2_1"/>
    <protectedRange password="C43E" sqref="C201" name="Range1_4_1_2_1"/>
    <protectedRange password="C43E" sqref="C202" name="Range1_5_1_2_1"/>
    <protectedRange password="C43E" sqref="C205:C208" name="Range1_6_1_2_1"/>
    <protectedRange password="C43E" sqref="C228:C229" name="Range1_7_1_2_1"/>
    <protectedRange password="C43E" sqref="C231" name="Range1_8_1_2_1"/>
    <protectedRange password="C43E" sqref="B242" name="Range1_11_1_2_1"/>
  </protectedRanges>
  <mergeCells count="8">
    <mergeCell ref="A1:C1"/>
    <mergeCell ref="A2:C2"/>
    <mergeCell ref="A144:E144"/>
    <mergeCell ref="A255:E255"/>
    <mergeCell ref="A256:A257"/>
    <mergeCell ref="B256:B257"/>
    <mergeCell ref="C256:C257"/>
    <mergeCell ref="D256:E256"/>
  </mergeCells>
  <pageMargins left="0.7" right="0.7" top="0.75" bottom="0.75" header="0.3" footer="0.3"/>
  <pageSetup paperSize="9" scale="73" orientation="portrait" r:id="rId1"/>
  <colBreaks count="1" manualBreakCount="1">
    <brk id="5" max="1048575" man="1"/>
  </colBreaks>
  <customProperties>
    <customPr name="LastActive" r:id="rId2"/>
  </customProperties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topLeftCell="A66" zoomScale="160" zoomScaleNormal="160" workbookViewId="0">
      <selection activeCell="E72" sqref="E72"/>
    </sheetView>
  </sheetViews>
  <sheetFormatPr defaultColWidth="9" defaultRowHeight="15.5" x14ac:dyDescent="0.35"/>
  <cols>
    <col min="1" max="1" width="8.6328125" style="592" customWidth="1"/>
    <col min="2" max="2" width="46.1796875" style="592" customWidth="1"/>
    <col min="3" max="5" width="18.54296875" style="592" customWidth="1"/>
    <col min="6" max="6" width="9" style="592"/>
    <col min="7" max="7" width="14.54296875" style="592" customWidth="1"/>
    <col min="8" max="8" width="13.453125" style="592" bestFit="1" customWidth="1"/>
    <col min="9" max="16384" width="9" style="592"/>
  </cols>
  <sheetData>
    <row r="1" spans="1:7" s="6" customFormat="1" ht="62.4" x14ac:dyDescent="0.3">
      <c r="A1" s="558" t="s">
        <v>0</v>
      </c>
      <c r="B1" s="722" t="s">
        <v>409</v>
      </c>
      <c r="C1" s="559" t="s">
        <v>1038</v>
      </c>
      <c r="D1" s="560" t="s">
        <v>1019</v>
      </c>
      <c r="E1" s="560" t="s">
        <v>1020</v>
      </c>
    </row>
    <row r="2" spans="1:7" s="6" customFormat="1" ht="15.65" x14ac:dyDescent="0.3">
      <c r="A2" s="28">
        <v>2110100</v>
      </c>
      <c r="B2" s="146" t="s">
        <v>311</v>
      </c>
      <c r="C2" s="361">
        <f>C3</f>
        <v>288162432</v>
      </c>
      <c r="D2" s="361">
        <f>1.05*C2</f>
        <v>302570553.60000002</v>
      </c>
      <c r="E2" s="361">
        <f>1.05*D2</f>
        <v>317699081.28000003</v>
      </c>
    </row>
    <row r="3" spans="1:7" s="6" customFormat="1" ht="15.65" x14ac:dyDescent="0.3">
      <c r="A3" s="29">
        <v>2110101</v>
      </c>
      <c r="B3" s="89" t="s">
        <v>780</v>
      </c>
      <c r="C3" s="716">
        <v>288162432</v>
      </c>
      <c r="D3" s="361">
        <f t="shared" ref="D3:E18" si="0">1.05*C3</f>
        <v>302570553.60000002</v>
      </c>
      <c r="E3" s="361">
        <f t="shared" si="0"/>
        <v>317699081.28000003</v>
      </c>
      <c r="G3" s="14"/>
    </row>
    <row r="4" spans="1:7" s="6" customFormat="1" ht="15.65" x14ac:dyDescent="0.3">
      <c r="A4" s="28" t="s">
        <v>3</v>
      </c>
      <c r="B4" s="146" t="s">
        <v>4</v>
      </c>
      <c r="C4" s="361">
        <f>C5+C6</f>
        <v>0</v>
      </c>
      <c r="D4" s="361">
        <f t="shared" si="0"/>
        <v>0</v>
      </c>
      <c r="E4" s="361">
        <f t="shared" si="0"/>
        <v>0</v>
      </c>
    </row>
    <row r="5" spans="1:7" s="6" customFormat="1" ht="15.65" x14ac:dyDescent="0.3">
      <c r="A5" s="29" t="s">
        <v>5</v>
      </c>
      <c r="B5" s="89" t="s">
        <v>6</v>
      </c>
      <c r="C5" s="374">
        <v>0</v>
      </c>
      <c r="D5" s="361">
        <f t="shared" si="0"/>
        <v>0</v>
      </c>
      <c r="E5" s="361">
        <f t="shared" si="0"/>
        <v>0</v>
      </c>
    </row>
    <row r="6" spans="1:7" s="6" customFormat="1" ht="15.65" x14ac:dyDescent="0.3">
      <c r="A6" s="29" t="s">
        <v>7</v>
      </c>
      <c r="B6" s="89" t="s">
        <v>8</v>
      </c>
      <c r="C6" s="374">
        <v>0</v>
      </c>
      <c r="D6" s="361">
        <f t="shared" si="0"/>
        <v>0</v>
      </c>
      <c r="E6" s="361">
        <f t="shared" si="0"/>
        <v>0</v>
      </c>
    </row>
    <row r="7" spans="1:7" s="6" customFormat="1" ht="15.65" x14ac:dyDescent="0.3">
      <c r="A7" s="28">
        <v>2210100</v>
      </c>
      <c r="B7" s="146" t="s">
        <v>23</v>
      </c>
      <c r="C7" s="361">
        <v>250000</v>
      </c>
      <c r="D7" s="361">
        <f t="shared" si="0"/>
        <v>262500</v>
      </c>
      <c r="E7" s="361">
        <f t="shared" si="0"/>
        <v>275625</v>
      </c>
    </row>
    <row r="8" spans="1:7" s="6" customFormat="1" ht="15.65" x14ac:dyDescent="0.3">
      <c r="A8" s="29">
        <v>2210101</v>
      </c>
      <c r="B8" s="89" t="s">
        <v>24</v>
      </c>
      <c r="C8" s="561">
        <v>200000</v>
      </c>
      <c r="D8" s="361">
        <f t="shared" si="0"/>
        <v>210000</v>
      </c>
      <c r="E8" s="361">
        <f t="shared" si="0"/>
        <v>220500</v>
      </c>
    </row>
    <row r="9" spans="1:7" s="6" customFormat="1" ht="15.65" x14ac:dyDescent="0.3">
      <c r="A9" s="29">
        <v>2210102</v>
      </c>
      <c r="B9" s="89" t="s">
        <v>25</v>
      </c>
      <c r="C9" s="561">
        <v>50000</v>
      </c>
      <c r="D9" s="361">
        <f t="shared" si="0"/>
        <v>52500</v>
      </c>
      <c r="E9" s="361">
        <f t="shared" si="0"/>
        <v>55125</v>
      </c>
    </row>
    <row r="10" spans="1:7" s="6" customFormat="1" ht="15.65" x14ac:dyDescent="0.3">
      <c r="A10" s="28">
        <v>2210200</v>
      </c>
      <c r="B10" s="146" t="s">
        <v>26</v>
      </c>
      <c r="C10" s="361">
        <v>920000</v>
      </c>
      <c r="D10" s="361">
        <f t="shared" si="0"/>
        <v>966000</v>
      </c>
      <c r="E10" s="361">
        <f t="shared" si="0"/>
        <v>1014300</v>
      </c>
      <c r="G10" s="14"/>
    </row>
    <row r="11" spans="1:7" s="6" customFormat="1" ht="15.65" x14ac:dyDescent="0.3">
      <c r="A11" s="29">
        <v>2210201</v>
      </c>
      <c r="B11" s="89" t="s">
        <v>27</v>
      </c>
      <c r="C11" s="561">
        <v>800000</v>
      </c>
      <c r="D11" s="361">
        <f t="shared" si="0"/>
        <v>840000</v>
      </c>
      <c r="E11" s="361">
        <f t="shared" si="0"/>
        <v>882000</v>
      </c>
    </row>
    <row r="12" spans="1:7" s="6" customFormat="1" ht="15.65" x14ac:dyDescent="0.3">
      <c r="A12" s="29">
        <v>2210202</v>
      </c>
      <c r="B12" s="89" t="s">
        <v>29</v>
      </c>
      <c r="C12" s="561">
        <v>120000</v>
      </c>
      <c r="D12" s="361">
        <f t="shared" si="0"/>
        <v>126000</v>
      </c>
      <c r="E12" s="361">
        <f t="shared" si="0"/>
        <v>132300</v>
      </c>
    </row>
    <row r="13" spans="1:7" s="6" customFormat="1" ht="15.65" x14ac:dyDescent="0.3">
      <c r="A13" s="28">
        <v>2210300</v>
      </c>
      <c r="B13" s="146" t="s">
        <v>30</v>
      </c>
      <c r="C13" s="361">
        <f>C14+C15+C16+C17+C18</f>
        <v>38000000</v>
      </c>
      <c r="D13" s="361">
        <f t="shared" si="0"/>
        <v>39900000</v>
      </c>
      <c r="E13" s="361">
        <f t="shared" si="0"/>
        <v>41895000</v>
      </c>
    </row>
    <row r="14" spans="1:7" s="6" customFormat="1" ht="15.65" x14ac:dyDescent="0.3">
      <c r="A14" s="29">
        <v>2210301</v>
      </c>
      <c r="B14" s="89" t="s">
        <v>31</v>
      </c>
      <c r="C14" s="717">
        <v>8000000</v>
      </c>
      <c r="D14" s="361">
        <f t="shared" si="0"/>
        <v>8400000</v>
      </c>
      <c r="E14" s="361">
        <f t="shared" si="0"/>
        <v>8820000</v>
      </c>
    </row>
    <row r="15" spans="1:7" s="6" customFormat="1" ht="15.65" x14ac:dyDescent="0.3">
      <c r="A15" s="29">
        <v>2210302</v>
      </c>
      <c r="B15" s="89" t="s">
        <v>681</v>
      </c>
      <c r="C15" s="717">
        <v>8000000</v>
      </c>
      <c r="D15" s="361">
        <f t="shared" si="0"/>
        <v>8400000</v>
      </c>
      <c r="E15" s="361">
        <f t="shared" si="0"/>
        <v>8820000</v>
      </c>
    </row>
    <row r="16" spans="1:7" s="6" customFormat="1" ht="15.65" x14ac:dyDescent="0.3">
      <c r="A16" s="29">
        <v>2210303</v>
      </c>
      <c r="B16" s="89" t="s">
        <v>32</v>
      </c>
      <c r="C16" s="717">
        <v>8000000</v>
      </c>
      <c r="D16" s="361">
        <f t="shared" si="0"/>
        <v>8400000</v>
      </c>
      <c r="E16" s="361">
        <f t="shared" si="0"/>
        <v>8820000</v>
      </c>
    </row>
    <row r="17" spans="1:5" s="6" customFormat="1" ht="15.65" x14ac:dyDescent="0.3">
      <c r="A17" s="29" t="s">
        <v>33</v>
      </c>
      <c r="B17" s="89" t="s">
        <v>116</v>
      </c>
      <c r="C17" s="717">
        <v>6000000</v>
      </c>
      <c r="D17" s="361">
        <f t="shared" si="0"/>
        <v>6300000</v>
      </c>
      <c r="E17" s="361">
        <f t="shared" si="0"/>
        <v>6615000</v>
      </c>
    </row>
    <row r="18" spans="1:5" s="6" customFormat="1" ht="15.65" x14ac:dyDescent="0.3">
      <c r="A18" s="29" t="s">
        <v>35</v>
      </c>
      <c r="B18" s="89" t="s">
        <v>36</v>
      </c>
      <c r="C18" s="717">
        <v>8000000</v>
      </c>
      <c r="D18" s="361">
        <f t="shared" si="0"/>
        <v>8400000</v>
      </c>
      <c r="E18" s="361">
        <f t="shared" si="0"/>
        <v>8820000</v>
      </c>
    </row>
    <row r="19" spans="1:5" s="6" customFormat="1" ht="15.65" x14ac:dyDescent="0.3">
      <c r="A19" s="28" t="s">
        <v>117</v>
      </c>
      <c r="B19" s="146" t="s">
        <v>118</v>
      </c>
      <c r="C19" s="361">
        <f>C20+C21+C22</f>
        <v>10000000</v>
      </c>
      <c r="D19" s="361">
        <f t="shared" ref="D19:E50" si="1">1.05*C19</f>
        <v>10500000</v>
      </c>
      <c r="E19" s="361">
        <f t="shared" si="1"/>
        <v>11025000</v>
      </c>
    </row>
    <row r="20" spans="1:5" s="7" customFormat="1" ht="15.65" x14ac:dyDescent="0.3">
      <c r="A20" s="76" t="s">
        <v>119</v>
      </c>
      <c r="B20" s="148" t="s">
        <v>120</v>
      </c>
      <c r="C20" s="561">
        <v>1860000</v>
      </c>
      <c r="D20" s="361">
        <f t="shared" si="1"/>
        <v>1953000</v>
      </c>
      <c r="E20" s="361">
        <f t="shared" si="1"/>
        <v>2050650</v>
      </c>
    </row>
    <row r="21" spans="1:5" s="7" customFormat="1" ht="15.65" x14ac:dyDescent="0.3">
      <c r="A21" s="76" t="s">
        <v>197</v>
      </c>
      <c r="B21" s="148" t="s">
        <v>198</v>
      </c>
      <c r="C21" s="561">
        <v>4640000</v>
      </c>
      <c r="D21" s="361">
        <f t="shared" si="1"/>
        <v>4872000</v>
      </c>
      <c r="E21" s="361">
        <f t="shared" si="1"/>
        <v>5115600</v>
      </c>
    </row>
    <row r="22" spans="1:5" s="7" customFormat="1" ht="15.65" x14ac:dyDescent="0.3">
      <c r="A22" s="76" t="s">
        <v>121</v>
      </c>
      <c r="B22" s="148" t="s">
        <v>115</v>
      </c>
      <c r="C22" s="374">
        <v>3500000</v>
      </c>
      <c r="D22" s="361">
        <f t="shared" si="1"/>
        <v>3675000</v>
      </c>
      <c r="E22" s="361">
        <f t="shared" si="1"/>
        <v>3858750</v>
      </c>
    </row>
    <row r="23" spans="1:5" s="6" customFormat="1" ht="15.65" x14ac:dyDescent="0.3">
      <c r="A23" s="28">
        <v>2210500</v>
      </c>
      <c r="B23" s="146" t="s">
        <v>410</v>
      </c>
      <c r="C23" s="361">
        <f>C24+C25+C26+C27</f>
        <v>4669453</v>
      </c>
      <c r="D23" s="361">
        <f t="shared" si="1"/>
        <v>4902925.6500000004</v>
      </c>
      <c r="E23" s="361">
        <f t="shared" si="1"/>
        <v>5148071.932500001</v>
      </c>
    </row>
    <row r="24" spans="1:5" s="7" customFormat="1" ht="15.65" x14ac:dyDescent="0.3">
      <c r="A24" s="76" t="s">
        <v>200</v>
      </c>
      <c r="B24" s="148" t="s">
        <v>201</v>
      </c>
      <c r="C24" s="561">
        <v>3000000</v>
      </c>
      <c r="D24" s="361">
        <f t="shared" si="1"/>
        <v>3150000</v>
      </c>
      <c r="E24" s="361">
        <f t="shared" si="1"/>
        <v>3307500</v>
      </c>
    </row>
    <row r="25" spans="1:5" s="7" customFormat="1" ht="15.65" x14ac:dyDescent="0.3">
      <c r="A25" s="76">
        <v>2210503</v>
      </c>
      <c r="B25" s="148" t="s">
        <v>40</v>
      </c>
      <c r="C25" s="561">
        <v>169453</v>
      </c>
      <c r="D25" s="361">
        <f t="shared" si="1"/>
        <v>177925.65</v>
      </c>
      <c r="E25" s="361">
        <f t="shared" si="1"/>
        <v>186821.9325</v>
      </c>
    </row>
    <row r="26" spans="1:5" s="7" customFormat="1" ht="15.65" x14ac:dyDescent="0.3">
      <c r="A26" s="76" t="s">
        <v>124</v>
      </c>
      <c r="B26" s="148" t="s">
        <v>125</v>
      </c>
      <c r="C26" s="561">
        <v>1000000</v>
      </c>
      <c r="D26" s="361">
        <f t="shared" si="1"/>
        <v>1050000</v>
      </c>
      <c r="E26" s="361">
        <f t="shared" si="1"/>
        <v>1102500</v>
      </c>
    </row>
    <row r="27" spans="1:5" s="7" customFormat="1" ht="15.65" x14ac:dyDescent="0.3">
      <c r="A27" s="76">
        <v>2210505</v>
      </c>
      <c r="B27" s="148" t="s">
        <v>41</v>
      </c>
      <c r="C27" s="561">
        <v>500000</v>
      </c>
      <c r="D27" s="361">
        <f t="shared" si="1"/>
        <v>525000</v>
      </c>
      <c r="E27" s="361">
        <f t="shared" si="1"/>
        <v>551250</v>
      </c>
    </row>
    <row r="28" spans="1:5" s="6" customFormat="1" ht="15.65" x14ac:dyDescent="0.3">
      <c r="A28" s="28">
        <v>2210600</v>
      </c>
      <c r="B28" s="146" t="s">
        <v>42</v>
      </c>
      <c r="C28" s="361">
        <f>C29+C30</f>
        <v>2000000</v>
      </c>
      <c r="D28" s="361">
        <f t="shared" si="1"/>
        <v>2100000</v>
      </c>
      <c r="E28" s="361">
        <f t="shared" si="1"/>
        <v>2205000</v>
      </c>
    </row>
    <row r="29" spans="1:5" s="6" customFormat="1" ht="15.65" x14ac:dyDescent="0.3">
      <c r="A29" s="29">
        <v>2210603</v>
      </c>
      <c r="B29" s="89" t="s">
        <v>43</v>
      </c>
      <c r="C29" s="561">
        <v>2000000</v>
      </c>
      <c r="D29" s="361">
        <f t="shared" si="1"/>
        <v>2100000</v>
      </c>
      <c r="E29" s="361">
        <f t="shared" si="1"/>
        <v>2205000</v>
      </c>
    </row>
    <row r="30" spans="1:5" s="6" customFormat="1" ht="15.65" x14ac:dyDescent="0.3">
      <c r="A30" s="29">
        <v>2210604</v>
      </c>
      <c r="B30" s="89" t="s">
        <v>44</v>
      </c>
      <c r="C30" s="561">
        <v>0</v>
      </c>
      <c r="D30" s="361">
        <f t="shared" si="1"/>
        <v>0</v>
      </c>
      <c r="E30" s="361">
        <f t="shared" si="1"/>
        <v>0</v>
      </c>
    </row>
    <row r="31" spans="1:5" s="6" customFormat="1" ht="15.65" x14ac:dyDescent="0.3">
      <c r="A31" s="28">
        <v>2210700</v>
      </c>
      <c r="B31" s="146" t="s">
        <v>45</v>
      </c>
      <c r="C31" s="361">
        <f>C32+C33+C34+C35+C36</f>
        <v>12000000</v>
      </c>
      <c r="D31" s="361">
        <f t="shared" si="1"/>
        <v>12600000</v>
      </c>
      <c r="E31" s="361">
        <f t="shared" si="1"/>
        <v>13230000</v>
      </c>
    </row>
    <row r="32" spans="1:5" s="6" customFormat="1" ht="15.65" x14ac:dyDescent="0.3">
      <c r="A32" s="29">
        <v>2210710</v>
      </c>
      <c r="B32" s="89" t="s">
        <v>411</v>
      </c>
      <c r="C32" s="718">
        <v>5000000</v>
      </c>
      <c r="D32" s="361">
        <f t="shared" si="1"/>
        <v>5250000</v>
      </c>
      <c r="E32" s="361">
        <f t="shared" si="1"/>
        <v>5512500</v>
      </c>
    </row>
    <row r="33" spans="1:5" s="6" customFormat="1" ht="15.65" x14ac:dyDescent="0.3">
      <c r="A33" s="29">
        <v>2210711</v>
      </c>
      <c r="B33" s="89" t="s">
        <v>47</v>
      </c>
      <c r="C33" s="718">
        <v>4000000</v>
      </c>
      <c r="D33" s="361">
        <f t="shared" si="1"/>
        <v>4200000</v>
      </c>
      <c r="E33" s="361">
        <f t="shared" si="1"/>
        <v>4410000</v>
      </c>
    </row>
    <row r="34" spans="1:5" s="6" customFormat="1" ht="15.65" x14ac:dyDescent="0.3">
      <c r="A34" s="29" t="s">
        <v>412</v>
      </c>
      <c r="B34" s="89" t="s">
        <v>398</v>
      </c>
      <c r="C34" s="561"/>
      <c r="D34" s="361">
        <f t="shared" si="1"/>
        <v>0</v>
      </c>
      <c r="E34" s="361">
        <f t="shared" si="1"/>
        <v>0</v>
      </c>
    </row>
    <row r="35" spans="1:5" s="6" customFormat="1" ht="15.65" x14ac:dyDescent="0.3">
      <c r="A35" s="29" t="s">
        <v>332</v>
      </c>
      <c r="B35" s="89" t="s">
        <v>333</v>
      </c>
      <c r="C35" s="561">
        <v>3000000</v>
      </c>
      <c r="D35" s="361">
        <f t="shared" si="1"/>
        <v>3150000</v>
      </c>
      <c r="E35" s="361">
        <f t="shared" si="1"/>
        <v>3307500</v>
      </c>
    </row>
    <row r="36" spans="1:5" s="6" customFormat="1" ht="15.65" x14ac:dyDescent="0.3">
      <c r="A36" s="29" t="s">
        <v>312</v>
      </c>
      <c r="B36" s="89" t="s">
        <v>46</v>
      </c>
      <c r="C36" s="561"/>
      <c r="D36" s="361">
        <f t="shared" si="1"/>
        <v>0</v>
      </c>
      <c r="E36" s="361">
        <f t="shared" si="1"/>
        <v>0</v>
      </c>
    </row>
    <row r="37" spans="1:5" s="6" customFormat="1" ht="15.65" x14ac:dyDescent="0.3">
      <c r="A37" s="28">
        <v>2210800</v>
      </c>
      <c r="B37" s="146" t="s">
        <v>48</v>
      </c>
      <c r="C37" s="361">
        <f>C38+C39</f>
        <v>25000000</v>
      </c>
      <c r="D37" s="361">
        <f t="shared" si="1"/>
        <v>26250000</v>
      </c>
      <c r="E37" s="361">
        <f t="shared" si="1"/>
        <v>27562500</v>
      </c>
    </row>
    <row r="38" spans="1:5" s="6" customFormat="1" ht="15.65" x14ac:dyDescent="0.3">
      <c r="A38" s="29">
        <v>2210801</v>
      </c>
      <c r="B38" s="89" t="s">
        <v>49</v>
      </c>
      <c r="C38" s="718">
        <f>-2000000+12000000</f>
        <v>10000000</v>
      </c>
      <c r="D38" s="361">
        <f t="shared" si="1"/>
        <v>10500000</v>
      </c>
      <c r="E38" s="361">
        <f t="shared" si="1"/>
        <v>11025000</v>
      </c>
    </row>
    <row r="39" spans="1:5" s="6" customFormat="1" ht="15.65" x14ac:dyDescent="0.3">
      <c r="A39" s="29">
        <v>2210802</v>
      </c>
      <c r="B39" s="89" t="s">
        <v>324</v>
      </c>
      <c r="C39" s="718">
        <v>15000000</v>
      </c>
      <c r="D39" s="361">
        <f t="shared" si="1"/>
        <v>15750000</v>
      </c>
      <c r="E39" s="361">
        <f t="shared" si="1"/>
        <v>16537500</v>
      </c>
    </row>
    <row r="40" spans="1:5" s="6" customFormat="1" ht="15.65" x14ac:dyDescent="0.3">
      <c r="A40" s="28">
        <v>2211000</v>
      </c>
      <c r="B40" s="146" t="s">
        <v>51</v>
      </c>
      <c r="C40" s="361">
        <f>C41</f>
        <v>0</v>
      </c>
      <c r="D40" s="361">
        <f t="shared" si="1"/>
        <v>0</v>
      </c>
      <c r="E40" s="361">
        <f t="shared" si="1"/>
        <v>0</v>
      </c>
    </row>
    <row r="41" spans="1:5" s="6" customFormat="1" ht="15.65" x14ac:dyDescent="0.3">
      <c r="A41" s="29">
        <v>2211016</v>
      </c>
      <c r="B41" s="89" t="s">
        <v>55</v>
      </c>
      <c r="C41" s="374"/>
      <c r="D41" s="361">
        <f t="shared" si="1"/>
        <v>0</v>
      </c>
      <c r="E41" s="361">
        <f t="shared" si="1"/>
        <v>0</v>
      </c>
    </row>
    <row r="42" spans="1:5" s="6" customFormat="1" ht="15.65" x14ac:dyDescent="0.3">
      <c r="A42" s="28">
        <v>2211100</v>
      </c>
      <c r="B42" s="146" t="s">
        <v>56</v>
      </c>
      <c r="C42" s="361">
        <f>C43+C44</f>
        <v>1470000</v>
      </c>
      <c r="D42" s="361">
        <f t="shared" si="1"/>
        <v>1543500</v>
      </c>
      <c r="E42" s="361">
        <f t="shared" si="1"/>
        <v>1620675</v>
      </c>
    </row>
    <row r="43" spans="1:5" s="6" customFormat="1" ht="15.65" x14ac:dyDescent="0.3">
      <c r="A43" s="29">
        <v>2211101</v>
      </c>
      <c r="B43" s="89" t="s">
        <v>57</v>
      </c>
      <c r="C43" s="719">
        <v>1270000</v>
      </c>
      <c r="D43" s="361">
        <f t="shared" si="1"/>
        <v>1333500</v>
      </c>
      <c r="E43" s="361">
        <f t="shared" si="1"/>
        <v>1400175</v>
      </c>
    </row>
    <row r="44" spans="1:5" s="6" customFormat="1" ht="15.65" x14ac:dyDescent="0.3">
      <c r="A44" s="29">
        <v>2211103</v>
      </c>
      <c r="B44" s="89" t="s">
        <v>59</v>
      </c>
      <c r="C44" s="719">
        <v>200000</v>
      </c>
      <c r="D44" s="361">
        <f t="shared" si="1"/>
        <v>210000</v>
      </c>
      <c r="E44" s="361">
        <f t="shared" si="1"/>
        <v>220500</v>
      </c>
    </row>
    <row r="45" spans="1:5" s="6" customFormat="1" ht="15.65" x14ac:dyDescent="0.3">
      <c r="A45" s="28">
        <v>2211200</v>
      </c>
      <c r="B45" s="146" t="s">
        <v>60</v>
      </c>
      <c r="C45" s="361">
        <f>C46</f>
        <v>15057043</v>
      </c>
      <c r="D45" s="361">
        <f t="shared" si="1"/>
        <v>15809895.15</v>
      </c>
      <c r="E45" s="361">
        <f t="shared" si="1"/>
        <v>16600389.907500001</v>
      </c>
    </row>
    <row r="46" spans="1:5" s="6" customFormat="1" ht="15.65" x14ac:dyDescent="0.3">
      <c r="A46" s="29">
        <v>2211201</v>
      </c>
      <c r="B46" s="89" t="s">
        <v>415</v>
      </c>
      <c r="C46" s="719">
        <f>15504057-447014</f>
        <v>15057043</v>
      </c>
      <c r="D46" s="361">
        <f t="shared" si="1"/>
        <v>15809895.15</v>
      </c>
      <c r="E46" s="361">
        <f t="shared" si="1"/>
        <v>16600389.907500001</v>
      </c>
    </row>
    <row r="47" spans="1:5" s="6" customFormat="1" ht="15.65" x14ac:dyDescent="0.3">
      <c r="A47" s="28">
        <v>2211300</v>
      </c>
      <c r="B47" s="146" t="s">
        <v>62</v>
      </c>
      <c r="C47" s="361">
        <f>C48+C49+C50+C51+C52+C53+C54+C55+C56+C57+C58</f>
        <v>49127501</v>
      </c>
      <c r="D47" s="361">
        <f t="shared" si="1"/>
        <v>51583876.050000004</v>
      </c>
      <c r="E47" s="361">
        <f t="shared" si="1"/>
        <v>54163069.852500007</v>
      </c>
    </row>
    <row r="48" spans="1:5" s="6" customFormat="1" ht="15.65" x14ac:dyDescent="0.3">
      <c r="A48" s="29">
        <v>2211309</v>
      </c>
      <c r="B48" s="89" t="s">
        <v>416</v>
      </c>
      <c r="C48" s="374">
        <v>0</v>
      </c>
      <c r="D48" s="361">
        <f t="shared" si="1"/>
        <v>0</v>
      </c>
      <c r="E48" s="361">
        <f t="shared" si="1"/>
        <v>0</v>
      </c>
    </row>
    <row r="49" spans="1:8" s="6" customFormat="1" ht="15.65" x14ac:dyDescent="0.3">
      <c r="A49" s="29">
        <v>2211305</v>
      </c>
      <c r="B49" s="89" t="s">
        <v>64</v>
      </c>
      <c r="C49" s="374">
        <v>0</v>
      </c>
      <c r="D49" s="361">
        <f t="shared" si="1"/>
        <v>0</v>
      </c>
      <c r="E49" s="361">
        <f t="shared" si="1"/>
        <v>0</v>
      </c>
    </row>
    <row r="50" spans="1:8" s="6" customFormat="1" ht="15.65" x14ac:dyDescent="0.3">
      <c r="A50" s="29">
        <v>2210904</v>
      </c>
      <c r="B50" s="89" t="s">
        <v>66</v>
      </c>
      <c r="C50" s="719">
        <v>2080000</v>
      </c>
      <c r="D50" s="361">
        <f t="shared" si="1"/>
        <v>2184000</v>
      </c>
      <c r="E50" s="361">
        <f t="shared" si="1"/>
        <v>2293200</v>
      </c>
    </row>
    <row r="51" spans="1:8" s="6" customFormat="1" ht="15.65" x14ac:dyDescent="0.3">
      <c r="A51" s="29">
        <v>2211306</v>
      </c>
      <c r="B51" s="89" t="s">
        <v>65</v>
      </c>
      <c r="C51" s="719">
        <v>3000000</v>
      </c>
      <c r="D51" s="361">
        <f t="shared" ref="D51:E76" si="2">1.05*C51</f>
        <v>3150000</v>
      </c>
      <c r="E51" s="361">
        <f t="shared" si="2"/>
        <v>3307500</v>
      </c>
    </row>
    <row r="52" spans="1:8" s="6" customFormat="1" ht="15.65" x14ac:dyDescent="0.3">
      <c r="A52" s="29">
        <v>2210320</v>
      </c>
      <c r="B52" s="89" t="s">
        <v>720</v>
      </c>
      <c r="C52" s="720">
        <v>3000000</v>
      </c>
      <c r="D52" s="361">
        <f t="shared" si="2"/>
        <v>3150000</v>
      </c>
      <c r="E52" s="361">
        <f t="shared" si="2"/>
        <v>3307500</v>
      </c>
    </row>
    <row r="53" spans="1:8" s="6" customFormat="1" ht="15.65" x14ac:dyDescent="0.3">
      <c r="A53" s="29">
        <v>2410104</v>
      </c>
      <c r="B53" s="89" t="s">
        <v>268</v>
      </c>
      <c r="C53" s="374"/>
      <c r="D53" s="361">
        <f t="shared" si="2"/>
        <v>0</v>
      </c>
      <c r="E53" s="361">
        <f t="shared" si="2"/>
        <v>0</v>
      </c>
      <c r="H53" s="6" t="s">
        <v>338</v>
      </c>
    </row>
    <row r="54" spans="1:8" s="6" customFormat="1" ht="15.65" x14ac:dyDescent="0.3">
      <c r="A54" s="29">
        <v>2211399</v>
      </c>
      <c r="B54" s="26" t="s">
        <v>784</v>
      </c>
      <c r="C54" s="721">
        <v>41047501</v>
      </c>
      <c r="D54" s="361">
        <f t="shared" si="2"/>
        <v>43099876.050000004</v>
      </c>
      <c r="E54" s="361">
        <f t="shared" si="2"/>
        <v>45254869.852500007</v>
      </c>
    </row>
    <row r="55" spans="1:8" s="6" customFormat="1" ht="15.65" x14ac:dyDescent="0.3">
      <c r="A55" s="29" t="s">
        <v>417</v>
      </c>
      <c r="B55" s="89" t="s">
        <v>418</v>
      </c>
      <c r="C55" s="374">
        <v>0</v>
      </c>
      <c r="D55" s="361">
        <f t="shared" si="2"/>
        <v>0</v>
      </c>
      <c r="E55" s="361">
        <f t="shared" si="2"/>
        <v>0</v>
      </c>
    </row>
    <row r="56" spans="1:8" s="6" customFormat="1" ht="15.65" x14ac:dyDescent="0.3">
      <c r="A56" s="29">
        <v>3110701</v>
      </c>
      <c r="B56" s="89" t="s">
        <v>67</v>
      </c>
      <c r="C56" s="374">
        <v>0</v>
      </c>
      <c r="D56" s="361">
        <f t="shared" si="2"/>
        <v>0</v>
      </c>
      <c r="E56" s="361">
        <f t="shared" si="2"/>
        <v>0</v>
      </c>
    </row>
    <row r="57" spans="1:8" s="6" customFormat="1" ht="15.65" x14ac:dyDescent="0.3">
      <c r="A57" s="29">
        <v>2211310</v>
      </c>
      <c r="B57" s="89" t="s">
        <v>70</v>
      </c>
      <c r="C57" s="374">
        <v>0</v>
      </c>
      <c r="D57" s="361">
        <f t="shared" si="2"/>
        <v>0</v>
      </c>
      <c r="E57" s="361">
        <f t="shared" si="2"/>
        <v>0</v>
      </c>
    </row>
    <row r="58" spans="1:8" s="6" customFormat="1" ht="15.65" x14ac:dyDescent="0.3">
      <c r="A58" s="29" t="s">
        <v>419</v>
      </c>
      <c r="B58" s="89" t="s">
        <v>420</v>
      </c>
      <c r="C58" s="374">
        <v>0</v>
      </c>
      <c r="D58" s="361">
        <f t="shared" si="2"/>
        <v>0</v>
      </c>
      <c r="E58" s="361">
        <f t="shared" si="2"/>
        <v>0</v>
      </c>
    </row>
    <row r="59" spans="1:8" s="6" customFormat="1" ht="15.65" x14ac:dyDescent="0.3">
      <c r="A59" s="28">
        <v>2220100</v>
      </c>
      <c r="B59" s="146" t="s">
        <v>71</v>
      </c>
      <c r="C59" s="361">
        <f>C60</f>
        <v>8120000</v>
      </c>
      <c r="D59" s="361">
        <f t="shared" si="2"/>
        <v>8526000</v>
      </c>
      <c r="E59" s="361">
        <f t="shared" si="2"/>
        <v>8952300</v>
      </c>
    </row>
    <row r="60" spans="1:8" s="6" customFormat="1" ht="15.65" x14ac:dyDescent="0.3">
      <c r="A60" s="29">
        <v>2220101</v>
      </c>
      <c r="B60" s="89" t="s">
        <v>72</v>
      </c>
      <c r="C60" s="719">
        <v>8120000</v>
      </c>
      <c r="D60" s="361">
        <f t="shared" si="2"/>
        <v>8526000</v>
      </c>
      <c r="E60" s="361">
        <f t="shared" si="2"/>
        <v>8952300</v>
      </c>
    </row>
    <row r="61" spans="1:8" s="6" customFormat="1" ht="15.65" x14ac:dyDescent="0.3">
      <c r="A61" s="28">
        <v>2220200</v>
      </c>
      <c r="B61" s="146" t="s">
        <v>73</v>
      </c>
      <c r="C61" s="361">
        <f>C62+C63+C64+C65+C66</f>
        <v>400000</v>
      </c>
      <c r="D61" s="361">
        <f t="shared" si="2"/>
        <v>420000</v>
      </c>
      <c r="E61" s="361">
        <f t="shared" si="2"/>
        <v>441000</v>
      </c>
    </row>
    <row r="62" spans="1:8" s="6" customFormat="1" ht="15.65" x14ac:dyDescent="0.3">
      <c r="A62" s="29">
        <v>2220201</v>
      </c>
      <c r="B62" s="89" t="s">
        <v>74</v>
      </c>
      <c r="C62" s="374">
        <v>0</v>
      </c>
      <c r="D62" s="361">
        <f t="shared" si="2"/>
        <v>0</v>
      </c>
      <c r="E62" s="361">
        <f t="shared" si="2"/>
        <v>0</v>
      </c>
    </row>
    <row r="63" spans="1:8" s="6" customFormat="1" ht="15.65" x14ac:dyDescent="0.3">
      <c r="A63" s="29">
        <v>2220202</v>
      </c>
      <c r="B63" s="89" t="s">
        <v>75</v>
      </c>
      <c r="C63" s="374"/>
      <c r="D63" s="361">
        <f t="shared" si="2"/>
        <v>0</v>
      </c>
      <c r="E63" s="361">
        <f t="shared" si="2"/>
        <v>0</v>
      </c>
    </row>
    <row r="64" spans="1:8" s="6" customFormat="1" ht="15.65" x14ac:dyDescent="0.3">
      <c r="A64" s="29">
        <v>2220204</v>
      </c>
      <c r="B64" s="89" t="s">
        <v>404</v>
      </c>
      <c r="C64" s="374">
        <v>0</v>
      </c>
      <c r="D64" s="361">
        <f t="shared" si="2"/>
        <v>0</v>
      </c>
      <c r="E64" s="361">
        <f t="shared" si="2"/>
        <v>0</v>
      </c>
    </row>
    <row r="65" spans="1:9" s="6" customFormat="1" ht="15.65" x14ac:dyDescent="0.3">
      <c r="A65" s="29">
        <v>2220205</v>
      </c>
      <c r="B65" s="89" t="s">
        <v>76</v>
      </c>
      <c r="C65" s="374">
        <v>0</v>
      </c>
      <c r="D65" s="361">
        <f t="shared" si="2"/>
        <v>0</v>
      </c>
      <c r="E65" s="361">
        <f t="shared" si="2"/>
        <v>0</v>
      </c>
    </row>
    <row r="66" spans="1:9" s="6" customFormat="1" ht="15.65" x14ac:dyDescent="0.3">
      <c r="A66" s="29">
        <v>2220210</v>
      </c>
      <c r="B66" s="89" t="s">
        <v>721</v>
      </c>
      <c r="C66" s="374">
        <v>400000</v>
      </c>
      <c r="D66" s="361">
        <f t="shared" si="2"/>
        <v>420000</v>
      </c>
      <c r="E66" s="361">
        <f t="shared" si="2"/>
        <v>441000</v>
      </c>
    </row>
    <row r="67" spans="1:9" s="6" customFormat="1" ht="15.65" x14ac:dyDescent="0.3">
      <c r="A67" s="28">
        <v>2710100</v>
      </c>
      <c r="B67" s="146" t="s">
        <v>78</v>
      </c>
      <c r="C67" s="361">
        <f>C68+C69+C70</f>
        <v>0</v>
      </c>
      <c r="D67" s="361">
        <f t="shared" si="2"/>
        <v>0</v>
      </c>
      <c r="E67" s="361">
        <f t="shared" si="2"/>
        <v>0</v>
      </c>
    </row>
    <row r="68" spans="1:9" s="6" customFormat="1" ht="15.65" x14ac:dyDescent="0.3">
      <c r="A68" s="29">
        <v>2710102</v>
      </c>
      <c r="B68" s="89" t="s">
        <v>79</v>
      </c>
      <c r="C68" s="374"/>
      <c r="D68" s="361">
        <f t="shared" si="2"/>
        <v>0</v>
      </c>
      <c r="E68" s="361">
        <f t="shared" si="2"/>
        <v>0</v>
      </c>
    </row>
    <row r="69" spans="1:9" s="6" customFormat="1" ht="15.65" x14ac:dyDescent="0.3">
      <c r="A69" s="29">
        <v>2710105</v>
      </c>
      <c r="B69" s="89" t="s">
        <v>80</v>
      </c>
      <c r="C69" s="716"/>
      <c r="D69" s="361">
        <f t="shared" si="2"/>
        <v>0</v>
      </c>
      <c r="E69" s="361">
        <f t="shared" si="2"/>
        <v>0</v>
      </c>
    </row>
    <row r="70" spans="1:9" s="6" customFormat="1" ht="15.65" x14ac:dyDescent="0.3">
      <c r="A70" s="29">
        <v>3110900</v>
      </c>
      <c r="B70" s="89" t="s">
        <v>81</v>
      </c>
      <c r="C70" s="374">
        <v>0</v>
      </c>
      <c r="D70" s="361">
        <f t="shared" si="2"/>
        <v>0</v>
      </c>
      <c r="E70" s="361">
        <f t="shared" si="2"/>
        <v>0</v>
      </c>
    </row>
    <row r="71" spans="1:9" s="6" customFormat="1" ht="15.65" x14ac:dyDescent="0.3">
      <c r="A71" s="28">
        <v>3111000</v>
      </c>
      <c r="B71" s="146" t="s">
        <v>82</v>
      </c>
      <c r="C71" s="361">
        <f>C72+C73+C74+C75</f>
        <v>25192390</v>
      </c>
      <c r="D71" s="361">
        <f t="shared" si="2"/>
        <v>26452009.5</v>
      </c>
      <c r="E71" s="361">
        <f t="shared" si="2"/>
        <v>27774609.975000001</v>
      </c>
    </row>
    <row r="72" spans="1:9" s="6" customFormat="1" ht="15.65" x14ac:dyDescent="0.3">
      <c r="A72" s="29">
        <v>3111001</v>
      </c>
      <c r="B72" s="89" t="s">
        <v>83</v>
      </c>
      <c r="C72" s="719"/>
      <c r="D72" s="361">
        <f t="shared" si="2"/>
        <v>0</v>
      </c>
      <c r="E72" s="361">
        <f t="shared" si="2"/>
        <v>0</v>
      </c>
    </row>
    <row r="73" spans="1:9" s="6" customFormat="1" ht="15.65" x14ac:dyDescent="0.3">
      <c r="A73" s="29">
        <v>3111002</v>
      </c>
      <c r="B73" s="89" t="s">
        <v>84</v>
      </c>
      <c r="C73" s="719">
        <v>2250000</v>
      </c>
      <c r="D73" s="361">
        <f t="shared" si="2"/>
        <v>2362500</v>
      </c>
      <c r="E73" s="361">
        <f t="shared" si="2"/>
        <v>2480625</v>
      </c>
    </row>
    <row r="74" spans="1:9" s="6" customFormat="1" ht="15.65" x14ac:dyDescent="0.3">
      <c r="A74" s="29">
        <v>3111003</v>
      </c>
      <c r="B74" s="89" t="s">
        <v>336</v>
      </c>
      <c r="C74" s="719"/>
      <c r="D74" s="361">
        <f t="shared" si="2"/>
        <v>0</v>
      </c>
      <c r="E74" s="361">
        <f t="shared" si="2"/>
        <v>0</v>
      </c>
    </row>
    <row r="75" spans="1:9" s="6" customFormat="1" ht="15.65" x14ac:dyDescent="0.3">
      <c r="A75" s="29">
        <v>2410104</v>
      </c>
      <c r="B75" s="89" t="s">
        <v>147</v>
      </c>
      <c r="C75" s="719">
        <v>22942390</v>
      </c>
      <c r="D75" s="361">
        <f t="shared" si="2"/>
        <v>24089509.5</v>
      </c>
      <c r="E75" s="361">
        <f t="shared" si="2"/>
        <v>25293984.975000001</v>
      </c>
    </row>
    <row r="76" spans="1:9" s="6" customFormat="1" ht="15.65" x14ac:dyDescent="0.3">
      <c r="A76" s="29"/>
      <c r="B76" s="146" t="s">
        <v>87</v>
      </c>
      <c r="C76" s="361">
        <f>C71+C67+C61+C59+C47+C45+C42+C37+C31+C28+C23+C19+C13+C10+C7+C4+C2</f>
        <v>480368819</v>
      </c>
      <c r="D76" s="361">
        <f t="shared" si="2"/>
        <v>504387259.95000005</v>
      </c>
      <c r="E76" s="361">
        <f t="shared" si="2"/>
        <v>529606622.94750005</v>
      </c>
      <c r="G76" s="14">
        <v>495368819</v>
      </c>
      <c r="H76" s="10">
        <f>C76-G76</f>
        <v>-15000000</v>
      </c>
      <c r="I76" s="10"/>
    </row>
    <row r="77" spans="1:9" s="6" customFormat="1" ht="62.4" x14ac:dyDescent="0.3">
      <c r="A77" s="562" t="s">
        <v>0</v>
      </c>
      <c r="B77" s="723" t="s">
        <v>785</v>
      </c>
      <c r="C77" s="560" t="s">
        <v>1018</v>
      </c>
      <c r="D77" s="560" t="s">
        <v>1019</v>
      </c>
      <c r="E77" s="560" t="s">
        <v>1020</v>
      </c>
      <c r="G77" s="14"/>
    </row>
    <row r="78" spans="1:9" s="6" customFormat="1" ht="15.65" x14ac:dyDescent="0.3">
      <c r="A78" s="28">
        <v>2210100</v>
      </c>
      <c r="B78" s="146" t="s">
        <v>23</v>
      </c>
      <c r="C78" s="361">
        <f>C79+C80</f>
        <v>160000</v>
      </c>
      <c r="D78" s="361">
        <f>1.05*C78</f>
        <v>168000</v>
      </c>
      <c r="E78" s="361">
        <f>1.05*D78</f>
        <v>176400</v>
      </c>
    </row>
    <row r="79" spans="1:9" s="6" customFormat="1" ht="15.65" x14ac:dyDescent="0.3">
      <c r="A79" s="29">
        <v>2210101</v>
      </c>
      <c r="B79" s="89" t="s">
        <v>24</v>
      </c>
      <c r="C79" s="719">
        <v>100000</v>
      </c>
      <c r="D79" s="361">
        <f t="shared" ref="D79:E110" si="3">1.05*C79</f>
        <v>105000</v>
      </c>
      <c r="E79" s="361">
        <f t="shared" si="3"/>
        <v>110250</v>
      </c>
    </row>
    <row r="80" spans="1:9" s="6" customFormat="1" ht="15.65" x14ac:dyDescent="0.3">
      <c r="A80" s="29">
        <v>2210102</v>
      </c>
      <c r="B80" s="89" t="s">
        <v>25</v>
      </c>
      <c r="C80" s="719">
        <v>60000</v>
      </c>
      <c r="D80" s="361">
        <f t="shared" si="3"/>
        <v>63000</v>
      </c>
      <c r="E80" s="361">
        <f t="shared" si="3"/>
        <v>66150</v>
      </c>
    </row>
    <row r="81" spans="1:5" s="6" customFormat="1" ht="15.65" x14ac:dyDescent="0.3">
      <c r="A81" s="28">
        <v>2210200</v>
      </c>
      <c r="B81" s="146" t="s">
        <v>26</v>
      </c>
      <c r="C81" s="361">
        <f>C82+C83</f>
        <v>600000</v>
      </c>
      <c r="D81" s="361">
        <f t="shared" si="3"/>
        <v>630000</v>
      </c>
      <c r="E81" s="361">
        <f t="shared" si="3"/>
        <v>661500</v>
      </c>
    </row>
    <row r="82" spans="1:5" s="6" customFormat="1" ht="15.65" x14ac:dyDescent="0.3">
      <c r="A82" s="29">
        <v>2210201</v>
      </c>
      <c r="B82" s="89" t="s">
        <v>27</v>
      </c>
      <c r="C82" s="719">
        <v>500000</v>
      </c>
      <c r="D82" s="361">
        <f t="shared" si="3"/>
        <v>525000</v>
      </c>
      <c r="E82" s="361">
        <f t="shared" si="3"/>
        <v>551250</v>
      </c>
    </row>
    <row r="83" spans="1:5" s="6" customFormat="1" x14ac:dyDescent="0.35">
      <c r="A83" s="29">
        <v>2210202</v>
      </c>
      <c r="B83" s="89" t="s">
        <v>29</v>
      </c>
      <c r="C83" s="374">
        <v>100000</v>
      </c>
      <c r="D83" s="361">
        <f t="shared" si="3"/>
        <v>105000</v>
      </c>
      <c r="E83" s="361">
        <f t="shared" si="3"/>
        <v>110250</v>
      </c>
    </row>
    <row r="84" spans="1:5" s="6" customFormat="1" x14ac:dyDescent="0.35">
      <c r="A84" s="28">
        <v>2210300</v>
      </c>
      <c r="B84" s="146" t="s">
        <v>30</v>
      </c>
      <c r="C84" s="361">
        <f>C85+C86+C87+C88+C89</f>
        <v>12000000</v>
      </c>
      <c r="D84" s="361">
        <f t="shared" si="3"/>
        <v>12600000</v>
      </c>
      <c r="E84" s="361">
        <f t="shared" si="3"/>
        <v>13230000</v>
      </c>
    </row>
    <row r="85" spans="1:5" s="6" customFormat="1" x14ac:dyDescent="0.35">
      <c r="A85" s="29">
        <v>2210301</v>
      </c>
      <c r="B85" s="89" t="s">
        <v>31</v>
      </c>
      <c r="C85" s="719">
        <v>2000000</v>
      </c>
      <c r="D85" s="361">
        <f t="shared" si="3"/>
        <v>2100000</v>
      </c>
      <c r="E85" s="361">
        <f t="shared" si="3"/>
        <v>2205000</v>
      </c>
    </row>
    <row r="86" spans="1:5" s="6" customFormat="1" x14ac:dyDescent="0.35">
      <c r="A86" s="29">
        <v>2210302</v>
      </c>
      <c r="B86" s="89" t="s">
        <v>681</v>
      </c>
      <c r="C86" s="719">
        <v>4000000</v>
      </c>
      <c r="D86" s="361">
        <f t="shared" si="3"/>
        <v>4200000</v>
      </c>
      <c r="E86" s="361">
        <f t="shared" si="3"/>
        <v>4410000</v>
      </c>
    </row>
    <row r="87" spans="1:5" s="6" customFormat="1" x14ac:dyDescent="0.35">
      <c r="A87" s="29">
        <v>2210303</v>
      </c>
      <c r="B87" s="89" t="s">
        <v>32</v>
      </c>
      <c r="C87" s="561">
        <v>2000000</v>
      </c>
      <c r="D87" s="361">
        <f t="shared" si="3"/>
        <v>2100000</v>
      </c>
      <c r="E87" s="361">
        <f t="shared" si="3"/>
        <v>2205000</v>
      </c>
    </row>
    <row r="88" spans="1:5" s="6" customFormat="1" x14ac:dyDescent="0.35">
      <c r="A88" s="29" t="s">
        <v>33</v>
      </c>
      <c r="B88" s="89" t="s">
        <v>116</v>
      </c>
      <c r="C88" s="374">
        <v>2000000</v>
      </c>
      <c r="D88" s="361">
        <f t="shared" si="3"/>
        <v>2100000</v>
      </c>
      <c r="E88" s="361">
        <f t="shared" si="3"/>
        <v>2205000</v>
      </c>
    </row>
    <row r="89" spans="1:5" s="6" customFormat="1" x14ac:dyDescent="0.35">
      <c r="A89" s="29" t="s">
        <v>35</v>
      </c>
      <c r="B89" s="89" t="s">
        <v>36</v>
      </c>
      <c r="C89" s="374">
        <v>2000000</v>
      </c>
      <c r="D89" s="361">
        <f t="shared" si="3"/>
        <v>2100000</v>
      </c>
      <c r="E89" s="361">
        <f t="shared" si="3"/>
        <v>2205000</v>
      </c>
    </row>
    <row r="90" spans="1:5" s="6" customFormat="1" x14ac:dyDescent="0.35">
      <c r="A90" s="28" t="s">
        <v>117</v>
      </c>
      <c r="B90" s="146" t="s">
        <v>118</v>
      </c>
      <c r="C90" s="361">
        <f>C91+C92+C93+C94</f>
        <v>3000000</v>
      </c>
      <c r="D90" s="361">
        <f t="shared" si="3"/>
        <v>3150000</v>
      </c>
      <c r="E90" s="361">
        <f t="shared" si="3"/>
        <v>3307500</v>
      </c>
    </row>
    <row r="91" spans="1:5" s="6" customFormat="1" x14ac:dyDescent="0.35">
      <c r="A91" s="29" t="s">
        <v>119</v>
      </c>
      <c r="B91" s="89" t="s">
        <v>120</v>
      </c>
      <c r="C91" s="374">
        <v>1000000</v>
      </c>
      <c r="D91" s="361">
        <f t="shared" si="3"/>
        <v>1050000</v>
      </c>
      <c r="E91" s="361">
        <f t="shared" si="3"/>
        <v>1102500</v>
      </c>
    </row>
    <row r="92" spans="1:5" s="6" customFormat="1" x14ac:dyDescent="0.35">
      <c r="A92" s="29" t="s">
        <v>197</v>
      </c>
      <c r="B92" s="89" t="s">
        <v>198</v>
      </c>
      <c r="C92" s="374">
        <v>1000000</v>
      </c>
      <c r="D92" s="361">
        <f t="shared" si="3"/>
        <v>1050000</v>
      </c>
      <c r="E92" s="361">
        <f t="shared" si="3"/>
        <v>1102500</v>
      </c>
    </row>
    <row r="93" spans="1:5" s="6" customFormat="1" x14ac:dyDescent="0.35">
      <c r="A93" s="29" t="s">
        <v>121</v>
      </c>
      <c r="B93" s="89" t="s">
        <v>115</v>
      </c>
      <c r="C93" s="374">
        <v>1000000</v>
      </c>
      <c r="D93" s="361">
        <f t="shared" si="3"/>
        <v>1050000</v>
      </c>
      <c r="E93" s="361">
        <f t="shared" si="3"/>
        <v>1102500</v>
      </c>
    </row>
    <row r="94" spans="1:5" s="6" customFormat="1" x14ac:dyDescent="0.35">
      <c r="A94" s="29" t="s">
        <v>393</v>
      </c>
      <c r="B94" s="89" t="s">
        <v>391</v>
      </c>
      <c r="C94" s="374"/>
      <c r="D94" s="361">
        <f t="shared" si="3"/>
        <v>0</v>
      </c>
      <c r="E94" s="361">
        <f t="shared" si="3"/>
        <v>0</v>
      </c>
    </row>
    <row r="95" spans="1:5" s="6" customFormat="1" x14ac:dyDescent="0.35">
      <c r="A95" s="28">
        <v>2210500</v>
      </c>
      <c r="B95" s="146" t="s">
        <v>410</v>
      </c>
      <c r="C95" s="361">
        <f>C96+C97+C98+C99</f>
        <v>50000</v>
      </c>
      <c r="D95" s="361">
        <f t="shared" si="3"/>
        <v>52500</v>
      </c>
      <c r="E95" s="361">
        <f t="shared" si="3"/>
        <v>55125</v>
      </c>
    </row>
    <row r="96" spans="1:5" s="6" customFormat="1" x14ac:dyDescent="0.35">
      <c r="A96" s="29">
        <v>2210503</v>
      </c>
      <c r="B96" s="89" t="s">
        <v>40</v>
      </c>
      <c r="C96" s="719">
        <v>50000</v>
      </c>
      <c r="D96" s="361">
        <f t="shared" si="3"/>
        <v>52500</v>
      </c>
      <c r="E96" s="361">
        <f t="shared" si="3"/>
        <v>55125</v>
      </c>
    </row>
    <row r="97" spans="1:5" s="6" customFormat="1" x14ac:dyDescent="0.35">
      <c r="A97" s="29" t="s">
        <v>200</v>
      </c>
      <c r="B97" s="89" t="s">
        <v>201</v>
      </c>
      <c r="C97" s="563">
        <v>0</v>
      </c>
      <c r="D97" s="361">
        <f t="shared" si="3"/>
        <v>0</v>
      </c>
      <c r="E97" s="361">
        <f t="shared" si="3"/>
        <v>0</v>
      </c>
    </row>
    <row r="98" spans="1:5" s="6" customFormat="1" x14ac:dyDescent="0.35">
      <c r="A98" s="29" t="s">
        <v>124</v>
      </c>
      <c r="B98" s="89" t="s">
        <v>125</v>
      </c>
      <c r="C98" s="374">
        <v>0</v>
      </c>
      <c r="D98" s="361">
        <f t="shared" si="3"/>
        <v>0</v>
      </c>
      <c r="E98" s="361">
        <f t="shared" si="3"/>
        <v>0</v>
      </c>
    </row>
    <row r="99" spans="1:5" s="6" customFormat="1" x14ac:dyDescent="0.35">
      <c r="A99" s="29">
        <v>2210505</v>
      </c>
      <c r="B99" s="89" t="s">
        <v>41</v>
      </c>
      <c r="C99" s="374">
        <v>0</v>
      </c>
      <c r="D99" s="361">
        <f t="shared" si="3"/>
        <v>0</v>
      </c>
      <c r="E99" s="361">
        <f t="shared" si="3"/>
        <v>0</v>
      </c>
    </row>
    <row r="100" spans="1:5" s="6" customFormat="1" x14ac:dyDescent="0.35">
      <c r="A100" s="28">
        <v>2210600</v>
      </c>
      <c r="B100" s="146" t="s">
        <v>42</v>
      </c>
      <c r="C100" s="361">
        <f>C101+C102</f>
        <v>0</v>
      </c>
      <c r="D100" s="361">
        <f t="shared" si="3"/>
        <v>0</v>
      </c>
      <c r="E100" s="361">
        <f t="shared" si="3"/>
        <v>0</v>
      </c>
    </row>
    <row r="101" spans="1:5" s="6" customFormat="1" x14ac:dyDescent="0.35">
      <c r="A101" s="29">
        <v>2210603</v>
      </c>
      <c r="B101" s="89" t="s">
        <v>43</v>
      </c>
      <c r="C101" s="561"/>
      <c r="D101" s="361">
        <f t="shared" si="3"/>
        <v>0</v>
      </c>
      <c r="E101" s="361">
        <f t="shared" si="3"/>
        <v>0</v>
      </c>
    </row>
    <row r="102" spans="1:5" s="6" customFormat="1" x14ac:dyDescent="0.35">
      <c r="A102" s="29">
        <v>2210604</v>
      </c>
      <c r="B102" s="89" t="s">
        <v>44</v>
      </c>
      <c r="C102" s="374">
        <v>0</v>
      </c>
      <c r="D102" s="361">
        <f t="shared" si="3"/>
        <v>0</v>
      </c>
      <c r="E102" s="361">
        <f t="shared" si="3"/>
        <v>0</v>
      </c>
    </row>
    <row r="103" spans="1:5" s="6" customFormat="1" x14ac:dyDescent="0.35">
      <c r="A103" s="28">
        <v>2210700</v>
      </c>
      <c r="B103" s="146" t="s">
        <v>45</v>
      </c>
      <c r="C103" s="361">
        <f>C104+C105+C107+C108</f>
        <v>3000000</v>
      </c>
      <c r="D103" s="361">
        <f t="shared" si="3"/>
        <v>3150000</v>
      </c>
      <c r="E103" s="361">
        <f t="shared" si="3"/>
        <v>3307500</v>
      </c>
    </row>
    <row r="104" spans="1:5" s="6" customFormat="1" x14ac:dyDescent="0.35">
      <c r="A104" s="29">
        <v>2210710</v>
      </c>
      <c r="B104" s="89" t="s">
        <v>411</v>
      </c>
      <c r="C104" s="561">
        <v>2000000</v>
      </c>
      <c r="D104" s="361">
        <f t="shared" si="3"/>
        <v>2100000</v>
      </c>
      <c r="E104" s="361">
        <f t="shared" si="3"/>
        <v>2205000</v>
      </c>
    </row>
    <row r="105" spans="1:5" s="6" customFormat="1" x14ac:dyDescent="0.35">
      <c r="A105" s="29">
        <v>2210711</v>
      </c>
      <c r="B105" s="89" t="s">
        <v>47</v>
      </c>
      <c r="C105" s="561">
        <v>1000000</v>
      </c>
      <c r="D105" s="361">
        <f t="shared" si="3"/>
        <v>1050000</v>
      </c>
      <c r="E105" s="361">
        <f t="shared" si="3"/>
        <v>1102500</v>
      </c>
    </row>
    <row r="106" spans="1:5" s="6" customFormat="1" x14ac:dyDescent="0.35">
      <c r="A106" s="29" t="s">
        <v>412</v>
      </c>
      <c r="B106" s="89" t="s">
        <v>398</v>
      </c>
      <c r="C106" s="374">
        <v>0</v>
      </c>
      <c r="D106" s="361">
        <f t="shared" si="3"/>
        <v>0</v>
      </c>
      <c r="E106" s="361">
        <f t="shared" si="3"/>
        <v>0</v>
      </c>
    </row>
    <row r="107" spans="1:5" s="6" customFormat="1" x14ac:dyDescent="0.35">
      <c r="A107" s="29" t="s">
        <v>332</v>
      </c>
      <c r="B107" s="89" t="s">
        <v>333</v>
      </c>
      <c r="C107" s="374">
        <v>0</v>
      </c>
      <c r="D107" s="361">
        <f t="shared" si="3"/>
        <v>0</v>
      </c>
      <c r="E107" s="361">
        <f t="shared" si="3"/>
        <v>0</v>
      </c>
    </row>
    <row r="108" spans="1:5" s="6" customFormat="1" x14ac:dyDescent="0.35">
      <c r="A108" s="29" t="s">
        <v>312</v>
      </c>
      <c r="B108" s="89" t="s">
        <v>46</v>
      </c>
      <c r="C108" s="374">
        <v>0</v>
      </c>
      <c r="D108" s="361">
        <f t="shared" si="3"/>
        <v>0</v>
      </c>
      <c r="E108" s="361">
        <f t="shared" si="3"/>
        <v>0</v>
      </c>
    </row>
    <row r="109" spans="1:5" s="6" customFormat="1" x14ac:dyDescent="0.35">
      <c r="A109" s="28">
        <v>2210800</v>
      </c>
      <c r="B109" s="146" t="s">
        <v>48</v>
      </c>
      <c r="C109" s="361">
        <f>C110+C111</f>
        <v>10000000</v>
      </c>
      <c r="D109" s="361">
        <f t="shared" si="3"/>
        <v>10500000</v>
      </c>
      <c r="E109" s="361">
        <f t="shared" si="3"/>
        <v>11025000</v>
      </c>
    </row>
    <row r="110" spans="1:5" s="6" customFormat="1" x14ac:dyDescent="0.35">
      <c r="A110" s="29">
        <v>2210801</v>
      </c>
      <c r="B110" s="89" t="s">
        <v>49</v>
      </c>
      <c r="C110" s="561">
        <v>4000000</v>
      </c>
      <c r="D110" s="361">
        <f t="shared" si="3"/>
        <v>4200000</v>
      </c>
      <c r="E110" s="361">
        <f t="shared" si="3"/>
        <v>4410000</v>
      </c>
    </row>
    <row r="111" spans="1:5" s="6" customFormat="1" x14ac:dyDescent="0.35">
      <c r="A111" s="29">
        <v>2210802</v>
      </c>
      <c r="B111" s="89" t="s">
        <v>421</v>
      </c>
      <c r="C111" s="561">
        <v>6000000</v>
      </c>
      <c r="D111" s="361">
        <f t="shared" ref="D111:E142" si="4">1.05*C111</f>
        <v>6300000</v>
      </c>
      <c r="E111" s="361">
        <f t="shared" si="4"/>
        <v>6615000</v>
      </c>
    </row>
    <row r="112" spans="1:5" s="6" customFormat="1" x14ac:dyDescent="0.35">
      <c r="A112" s="28">
        <v>2211000</v>
      </c>
      <c r="B112" s="146" t="s">
        <v>51</v>
      </c>
      <c r="C112" s="361">
        <v>0</v>
      </c>
      <c r="D112" s="361">
        <f t="shared" si="4"/>
        <v>0</v>
      </c>
      <c r="E112" s="361">
        <f t="shared" si="4"/>
        <v>0</v>
      </c>
    </row>
    <row r="113" spans="1:5" s="6" customFormat="1" x14ac:dyDescent="0.35">
      <c r="A113" s="29">
        <v>2211016</v>
      </c>
      <c r="B113" s="89" t="s">
        <v>55</v>
      </c>
      <c r="C113" s="561"/>
      <c r="D113" s="361">
        <f t="shared" si="4"/>
        <v>0</v>
      </c>
      <c r="E113" s="361">
        <f t="shared" si="4"/>
        <v>0</v>
      </c>
    </row>
    <row r="114" spans="1:5" s="6" customFormat="1" x14ac:dyDescent="0.35">
      <c r="A114" s="28">
        <v>2211100</v>
      </c>
      <c r="B114" s="146" t="s">
        <v>56</v>
      </c>
      <c r="C114" s="361">
        <f>C115+C116</f>
        <v>600000</v>
      </c>
      <c r="D114" s="361">
        <f t="shared" si="4"/>
        <v>630000</v>
      </c>
      <c r="E114" s="361">
        <f t="shared" si="4"/>
        <v>661500</v>
      </c>
    </row>
    <row r="115" spans="1:5" s="6" customFormat="1" x14ac:dyDescent="0.35">
      <c r="A115" s="29">
        <v>2211101</v>
      </c>
      <c r="B115" s="89" t="s">
        <v>57</v>
      </c>
      <c r="C115" s="561">
        <v>500000</v>
      </c>
      <c r="D115" s="361">
        <f t="shared" si="4"/>
        <v>525000</v>
      </c>
      <c r="E115" s="361">
        <f t="shared" si="4"/>
        <v>551250</v>
      </c>
    </row>
    <row r="116" spans="1:5" s="6" customFormat="1" x14ac:dyDescent="0.35">
      <c r="A116" s="29">
        <v>2211103</v>
      </c>
      <c r="B116" s="89" t="s">
        <v>59</v>
      </c>
      <c r="C116" s="374">
        <v>100000</v>
      </c>
      <c r="D116" s="361">
        <f t="shared" si="4"/>
        <v>105000</v>
      </c>
      <c r="E116" s="361">
        <f t="shared" si="4"/>
        <v>110250</v>
      </c>
    </row>
    <row r="117" spans="1:5" s="6" customFormat="1" x14ac:dyDescent="0.35">
      <c r="A117" s="28">
        <v>2211200</v>
      </c>
      <c r="B117" s="146" t="s">
        <v>60</v>
      </c>
      <c r="C117" s="361">
        <f>C118</f>
        <v>4000000</v>
      </c>
      <c r="D117" s="361">
        <f t="shared" si="4"/>
        <v>4200000</v>
      </c>
      <c r="E117" s="361">
        <f t="shared" si="4"/>
        <v>4410000</v>
      </c>
    </row>
    <row r="118" spans="1:5" s="6" customFormat="1" x14ac:dyDescent="0.35">
      <c r="A118" s="29">
        <v>2211201</v>
      </c>
      <c r="B118" s="89" t="s">
        <v>334</v>
      </c>
      <c r="C118" s="561">
        <v>4000000</v>
      </c>
      <c r="D118" s="361">
        <f t="shared" si="4"/>
        <v>4200000</v>
      </c>
      <c r="E118" s="361">
        <f t="shared" si="4"/>
        <v>4410000</v>
      </c>
    </row>
    <row r="119" spans="1:5" s="6" customFormat="1" x14ac:dyDescent="0.35">
      <c r="A119" s="28">
        <v>2211300</v>
      </c>
      <c r="B119" s="146" t="s">
        <v>62</v>
      </c>
      <c r="C119" s="361">
        <f>C120+C121+C122+C123+C124+C125+C126+C127+C128+C129+C130+C131</f>
        <v>2500000</v>
      </c>
      <c r="D119" s="361">
        <f t="shared" si="4"/>
        <v>2625000</v>
      </c>
      <c r="E119" s="361">
        <f t="shared" si="4"/>
        <v>2756250</v>
      </c>
    </row>
    <row r="120" spans="1:5" s="6" customFormat="1" x14ac:dyDescent="0.35">
      <c r="A120" s="29">
        <v>2211309</v>
      </c>
      <c r="B120" s="89" t="s">
        <v>416</v>
      </c>
      <c r="C120" s="374">
        <v>0</v>
      </c>
      <c r="D120" s="361">
        <f t="shared" si="4"/>
        <v>0</v>
      </c>
      <c r="E120" s="361">
        <f t="shared" si="4"/>
        <v>0</v>
      </c>
    </row>
    <row r="121" spans="1:5" s="6" customFormat="1" x14ac:dyDescent="0.35">
      <c r="A121" s="29">
        <v>2211305</v>
      </c>
      <c r="B121" s="89" t="s">
        <v>64</v>
      </c>
      <c r="C121" s="374">
        <v>0</v>
      </c>
      <c r="D121" s="361">
        <f t="shared" si="4"/>
        <v>0</v>
      </c>
      <c r="E121" s="361">
        <f t="shared" si="4"/>
        <v>0</v>
      </c>
    </row>
    <row r="122" spans="1:5" s="6" customFormat="1" x14ac:dyDescent="0.35">
      <c r="A122" s="29">
        <v>2210904</v>
      </c>
      <c r="B122" s="89" t="s">
        <v>66</v>
      </c>
      <c r="C122" s="561">
        <v>500000</v>
      </c>
      <c r="D122" s="361">
        <f t="shared" si="4"/>
        <v>525000</v>
      </c>
      <c r="E122" s="361">
        <f t="shared" si="4"/>
        <v>551250</v>
      </c>
    </row>
    <row r="123" spans="1:5" s="6" customFormat="1" x14ac:dyDescent="0.35">
      <c r="A123" s="29">
        <v>2210320</v>
      </c>
      <c r="B123" s="89" t="s">
        <v>688</v>
      </c>
      <c r="C123" s="561">
        <v>2000000</v>
      </c>
      <c r="D123" s="361">
        <f t="shared" si="4"/>
        <v>2100000</v>
      </c>
      <c r="E123" s="361">
        <f t="shared" si="4"/>
        <v>2205000</v>
      </c>
    </row>
    <row r="124" spans="1:5" s="6" customFormat="1" x14ac:dyDescent="0.35">
      <c r="A124" s="29">
        <v>2211306</v>
      </c>
      <c r="B124" s="89" t="s">
        <v>65</v>
      </c>
      <c r="C124" s="374">
        <v>0</v>
      </c>
      <c r="D124" s="361">
        <f t="shared" si="4"/>
        <v>0</v>
      </c>
      <c r="E124" s="361">
        <f t="shared" si="4"/>
        <v>0</v>
      </c>
    </row>
    <row r="125" spans="1:5" s="6" customFormat="1" x14ac:dyDescent="0.35">
      <c r="A125" s="29">
        <v>2211308</v>
      </c>
      <c r="B125" s="89" t="s">
        <v>69</v>
      </c>
      <c r="C125" s="374"/>
      <c r="D125" s="361">
        <f t="shared" si="4"/>
        <v>0</v>
      </c>
      <c r="E125" s="361">
        <f t="shared" si="4"/>
        <v>0</v>
      </c>
    </row>
    <row r="126" spans="1:5" s="6" customFormat="1" x14ac:dyDescent="0.35">
      <c r="A126" s="29">
        <v>2410104</v>
      </c>
      <c r="B126" s="89" t="s">
        <v>268</v>
      </c>
      <c r="C126" s="374">
        <v>0</v>
      </c>
      <c r="D126" s="361">
        <f t="shared" si="4"/>
        <v>0</v>
      </c>
      <c r="E126" s="361">
        <f t="shared" si="4"/>
        <v>0</v>
      </c>
    </row>
    <row r="127" spans="1:5" s="6" customFormat="1" x14ac:dyDescent="0.35">
      <c r="A127" s="29" t="s">
        <v>422</v>
      </c>
      <c r="B127" s="89" t="s">
        <v>423</v>
      </c>
      <c r="C127" s="374">
        <v>0</v>
      </c>
      <c r="D127" s="361">
        <f t="shared" si="4"/>
        <v>0</v>
      </c>
      <c r="E127" s="361">
        <f t="shared" si="4"/>
        <v>0</v>
      </c>
    </row>
    <row r="128" spans="1:5" s="6" customFormat="1" x14ac:dyDescent="0.35">
      <c r="A128" s="29" t="s">
        <v>417</v>
      </c>
      <c r="B128" s="89" t="s">
        <v>418</v>
      </c>
      <c r="C128" s="374">
        <v>0</v>
      </c>
      <c r="D128" s="361">
        <f t="shared" si="4"/>
        <v>0</v>
      </c>
      <c r="E128" s="361">
        <f t="shared" si="4"/>
        <v>0</v>
      </c>
    </row>
    <row r="129" spans="1:5" s="6" customFormat="1" x14ac:dyDescent="0.35">
      <c r="A129" s="29">
        <v>3110701</v>
      </c>
      <c r="B129" s="89" t="s">
        <v>67</v>
      </c>
      <c r="C129" s="374">
        <v>0</v>
      </c>
      <c r="D129" s="361">
        <f t="shared" si="4"/>
        <v>0</v>
      </c>
      <c r="E129" s="361">
        <f t="shared" si="4"/>
        <v>0</v>
      </c>
    </row>
    <row r="130" spans="1:5" s="6" customFormat="1" x14ac:dyDescent="0.35">
      <c r="A130" s="29">
        <v>2211310</v>
      </c>
      <c r="B130" s="89" t="s">
        <v>70</v>
      </c>
      <c r="C130" s="374">
        <v>0</v>
      </c>
      <c r="D130" s="361">
        <f t="shared" si="4"/>
        <v>0</v>
      </c>
      <c r="E130" s="361">
        <f t="shared" si="4"/>
        <v>0</v>
      </c>
    </row>
    <row r="131" spans="1:5" s="6" customFormat="1" x14ac:dyDescent="0.35">
      <c r="A131" s="29" t="s">
        <v>419</v>
      </c>
      <c r="B131" s="89" t="s">
        <v>420</v>
      </c>
      <c r="C131" s="374">
        <v>0</v>
      </c>
      <c r="D131" s="361">
        <f t="shared" si="4"/>
        <v>0</v>
      </c>
      <c r="E131" s="361">
        <f t="shared" si="4"/>
        <v>0</v>
      </c>
    </row>
    <row r="132" spans="1:5" s="6" customFormat="1" x14ac:dyDescent="0.35">
      <c r="A132" s="28">
        <v>2220100</v>
      </c>
      <c r="B132" s="146" t="s">
        <v>71</v>
      </c>
      <c r="C132" s="361">
        <f>C133</f>
        <v>2000000</v>
      </c>
      <c r="D132" s="361">
        <f t="shared" si="4"/>
        <v>2100000</v>
      </c>
      <c r="E132" s="361">
        <f t="shared" si="4"/>
        <v>2205000</v>
      </c>
    </row>
    <row r="133" spans="1:5" s="6" customFormat="1" x14ac:dyDescent="0.35">
      <c r="A133" s="29">
        <v>2220101</v>
      </c>
      <c r="B133" s="89" t="s">
        <v>72</v>
      </c>
      <c r="C133" s="561">
        <v>2000000</v>
      </c>
      <c r="D133" s="361">
        <f t="shared" si="4"/>
        <v>2100000</v>
      </c>
      <c r="E133" s="361">
        <f t="shared" si="4"/>
        <v>2205000</v>
      </c>
    </row>
    <row r="134" spans="1:5" s="6" customFormat="1" x14ac:dyDescent="0.35">
      <c r="A134" s="28">
        <v>2220200</v>
      </c>
      <c r="B134" s="146" t="s">
        <v>73</v>
      </c>
      <c r="C134" s="361">
        <f>C135+C136+C137+C138+C139</f>
        <v>232390</v>
      </c>
      <c r="D134" s="361">
        <f t="shared" si="4"/>
        <v>244009.5</v>
      </c>
      <c r="E134" s="361">
        <f t="shared" si="4"/>
        <v>256209.97500000001</v>
      </c>
    </row>
    <row r="135" spans="1:5" s="6" customFormat="1" x14ac:dyDescent="0.35">
      <c r="A135" s="29">
        <v>2220201</v>
      </c>
      <c r="B135" s="89" t="s">
        <v>74</v>
      </c>
      <c r="C135" s="374">
        <v>0</v>
      </c>
      <c r="D135" s="361">
        <f t="shared" si="4"/>
        <v>0</v>
      </c>
      <c r="E135" s="361">
        <f t="shared" si="4"/>
        <v>0</v>
      </c>
    </row>
    <row r="136" spans="1:5" s="6" customFormat="1" x14ac:dyDescent="0.35">
      <c r="A136" s="29">
        <v>2220202</v>
      </c>
      <c r="B136" s="89" t="s">
        <v>75</v>
      </c>
      <c r="C136" s="374">
        <v>0</v>
      </c>
      <c r="D136" s="361">
        <f t="shared" si="4"/>
        <v>0</v>
      </c>
      <c r="E136" s="361">
        <f t="shared" si="4"/>
        <v>0</v>
      </c>
    </row>
    <row r="137" spans="1:5" s="6" customFormat="1" x14ac:dyDescent="0.35">
      <c r="A137" s="29">
        <v>2220204</v>
      </c>
      <c r="B137" s="89" t="s">
        <v>404</v>
      </c>
      <c r="C137" s="374">
        <v>0</v>
      </c>
      <c r="D137" s="361">
        <f t="shared" si="4"/>
        <v>0</v>
      </c>
      <c r="E137" s="361">
        <f t="shared" si="4"/>
        <v>0</v>
      </c>
    </row>
    <row r="138" spans="1:5" s="6" customFormat="1" x14ac:dyDescent="0.35">
      <c r="A138" s="29">
        <v>2220205</v>
      </c>
      <c r="B138" s="89" t="s">
        <v>76</v>
      </c>
      <c r="C138" s="374">
        <v>0</v>
      </c>
      <c r="D138" s="361">
        <f t="shared" si="4"/>
        <v>0</v>
      </c>
      <c r="E138" s="361">
        <f t="shared" si="4"/>
        <v>0</v>
      </c>
    </row>
    <row r="139" spans="1:5" s="6" customFormat="1" x14ac:dyDescent="0.35">
      <c r="A139" s="29">
        <v>2220210</v>
      </c>
      <c r="B139" s="89" t="s">
        <v>1029</v>
      </c>
      <c r="C139" s="561">
        <v>232390</v>
      </c>
      <c r="D139" s="361">
        <f t="shared" si="4"/>
        <v>244009.5</v>
      </c>
      <c r="E139" s="361">
        <f t="shared" si="4"/>
        <v>256209.97500000001</v>
      </c>
    </row>
    <row r="140" spans="1:5" s="6" customFormat="1" x14ac:dyDescent="0.35">
      <c r="A140" s="28">
        <v>2710100</v>
      </c>
      <c r="B140" s="146" t="s">
        <v>78</v>
      </c>
      <c r="C140" s="361">
        <v>0</v>
      </c>
      <c r="D140" s="361">
        <f t="shared" si="4"/>
        <v>0</v>
      </c>
      <c r="E140" s="361">
        <f t="shared" si="4"/>
        <v>0</v>
      </c>
    </row>
    <row r="141" spans="1:5" s="6" customFormat="1" x14ac:dyDescent="0.35">
      <c r="A141" s="29">
        <v>2710102</v>
      </c>
      <c r="B141" s="89" t="s">
        <v>79</v>
      </c>
      <c r="C141" s="374">
        <v>0</v>
      </c>
      <c r="D141" s="361">
        <f t="shared" si="4"/>
        <v>0</v>
      </c>
      <c r="E141" s="361">
        <f t="shared" si="4"/>
        <v>0</v>
      </c>
    </row>
    <row r="142" spans="1:5" s="6" customFormat="1" x14ac:dyDescent="0.35">
      <c r="A142" s="29">
        <v>2710105</v>
      </c>
      <c r="B142" s="89" t="s">
        <v>80</v>
      </c>
      <c r="C142" s="374">
        <v>0</v>
      </c>
      <c r="D142" s="361">
        <f t="shared" si="4"/>
        <v>0</v>
      </c>
      <c r="E142" s="361">
        <f t="shared" si="4"/>
        <v>0</v>
      </c>
    </row>
    <row r="143" spans="1:5" s="6" customFormat="1" x14ac:dyDescent="0.35">
      <c r="A143" s="29">
        <v>3110900</v>
      </c>
      <c r="B143" s="89" t="s">
        <v>81</v>
      </c>
      <c r="C143" s="374"/>
      <c r="D143" s="361">
        <f t="shared" ref="D143:E149" si="5">1.05*C143</f>
        <v>0</v>
      </c>
      <c r="E143" s="361">
        <f t="shared" si="5"/>
        <v>0</v>
      </c>
    </row>
    <row r="144" spans="1:5" s="6" customFormat="1" x14ac:dyDescent="0.35">
      <c r="A144" s="28">
        <v>3111000</v>
      </c>
      <c r="B144" s="146" t="s">
        <v>82</v>
      </c>
      <c r="C144" s="361">
        <f>C145+C146+C147+C148</f>
        <v>500000</v>
      </c>
      <c r="D144" s="361">
        <f t="shared" si="5"/>
        <v>525000</v>
      </c>
      <c r="E144" s="361">
        <f t="shared" si="5"/>
        <v>551250</v>
      </c>
    </row>
    <row r="145" spans="1:5" s="6" customFormat="1" x14ac:dyDescent="0.35">
      <c r="A145" s="29">
        <v>3111001</v>
      </c>
      <c r="B145" s="89" t="s">
        <v>83</v>
      </c>
      <c r="C145" s="374"/>
      <c r="D145" s="361">
        <f t="shared" si="5"/>
        <v>0</v>
      </c>
      <c r="E145" s="361">
        <f t="shared" si="5"/>
        <v>0</v>
      </c>
    </row>
    <row r="146" spans="1:5" s="6" customFormat="1" x14ac:dyDescent="0.35">
      <c r="A146" s="29">
        <v>3111002</v>
      </c>
      <c r="B146" s="89" t="s">
        <v>722</v>
      </c>
      <c r="C146" s="374">
        <v>500000</v>
      </c>
      <c r="D146" s="361">
        <f t="shared" si="5"/>
        <v>525000</v>
      </c>
      <c r="E146" s="361">
        <f t="shared" si="5"/>
        <v>551250</v>
      </c>
    </row>
    <row r="147" spans="1:5" s="6" customFormat="1" x14ac:dyDescent="0.35">
      <c r="A147" s="29">
        <v>3111003</v>
      </c>
      <c r="B147" s="89" t="s">
        <v>336</v>
      </c>
      <c r="C147" s="374"/>
      <c r="D147" s="361">
        <f t="shared" si="5"/>
        <v>0</v>
      </c>
      <c r="E147" s="361">
        <f t="shared" si="5"/>
        <v>0</v>
      </c>
    </row>
    <row r="148" spans="1:5" s="6" customFormat="1" x14ac:dyDescent="0.35">
      <c r="A148" s="29">
        <v>3111401</v>
      </c>
      <c r="B148" s="89" t="s">
        <v>85</v>
      </c>
      <c r="C148" s="374"/>
      <c r="D148" s="361">
        <f t="shared" si="5"/>
        <v>0</v>
      </c>
      <c r="E148" s="361">
        <f t="shared" si="5"/>
        <v>0</v>
      </c>
    </row>
    <row r="149" spans="1:5" s="6" customFormat="1" x14ac:dyDescent="0.35">
      <c r="A149" s="29"/>
      <c r="B149" s="146" t="s">
        <v>87</v>
      </c>
      <c r="C149" s="361">
        <f>C144+C140+C134+C132+C119+C117+C114+C109+C103+C100+C95+C90+C84+C81+C78</f>
        <v>38642390</v>
      </c>
      <c r="D149" s="361">
        <f t="shared" si="5"/>
        <v>40574509.5</v>
      </c>
      <c r="E149" s="361">
        <f t="shared" si="5"/>
        <v>42603234.975000001</v>
      </c>
    </row>
    <row r="150" spans="1:5" s="6" customFormat="1" x14ac:dyDescent="0.35">
      <c r="A150" s="29"/>
      <c r="B150" s="89"/>
      <c r="C150" s="374"/>
      <c r="D150" s="374"/>
      <c r="E150" s="374"/>
    </row>
    <row r="151" spans="1:5" s="6" customFormat="1" x14ac:dyDescent="0.35">
      <c r="A151" s="11"/>
      <c r="B151" s="11"/>
      <c r="C151" s="17"/>
      <c r="D151" s="12"/>
      <c r="E151" s="12"/>
    </row>
    <row r="152" spans="1:5" s="6" customFormat="1" x14ac:dyDescent="0.35">
      <c r="A152" s="11"/>
      <c r="B152" s="11"/>
      <c r="C152" s="12"/>
      <c r="D152" s="12"/>
      <c r="E152" s="12"/>
    </row>
    <row r="153" spans="1:5" s="6" customFormat="1" x14ac:dyDescent="0.35">
      <c r="A153" s="11"/>
      <c r="B153" s="11"/>
      <c r="C153" s="17">
        <v>534011209</v>
      </c>
      <c r="D153" s="564"/>
      <c r="E153" s="12"/>
    </row>
    <row r="154" spans="1:5" s="6" customFormat="1" x14ac:dyDescent="0.35">
      <c r="A154" s="11"/>
      <c r="B154" s="11"/>
      <c r="C154" s="564"/>
      <c r="D154" s="564"/>
      <c r="E154" s="564"/>
    </row>
    <row r="155" spans="1:5" s="6" customFormat="1" x14ac:dyDescent="0.35">
      <c r="A155" s="11"/>
      <c r="B155" s="11"/>
      <c r="C155" s="564">
        <f>C149+C76</f>
        <v>519011209</v>
      </c>
      <c r="D155" s="12"/>
      <c r="E155" s="12"/>
    </row>
    <row r="156" spans="1:5" s="6" customFormat="1" x14ac:dyDescent="0.35">
      <c r="A156" s="11"/>
      <c r="B156" s="11"/>
      <c r="C156" s="565"/>
      <c r="D156" s="12"/>
      <c r="E156" s="12"/>
    </row>
    <row r="157" spans="1:5" s="6" customFormat="1" x14ac:dyDescent="0.35">
      <c r="A157" s="11"/>
      <c r="B157" s="11"/>
      <c r="C157" s="12"/>
      <c r="D157" s="12"/>
      <c r="E157" s="12"/>
    </row>
    <row r="158" spans="1:5" s="6" customFormat="1" x14ac:dyDescent="0.35">
      <c r="A158" s="11"/>
      <c r="B158" s="11"/>
      <c r="C158" s="12"/>
      <c r="D158" s="12"/>
      <c r="E158" s="12"/>
    </row>
  </sheetData>
  <protectedRanges>
    <protectedRange sqref="A4:B5" name="Range1_9_1_1_1_1_2_1_1_1_3_2_1"/>
    <protectedRange sqref="A7:C7" name="Range1_4_1_1_1_1_1_2_1_1_1_3_2_1"/>
    <protectedRange sqref="A9:B9 A10:C10" name="Range1_5_1_1_1_1_1_2_1_1_1_3_2_1"/>
    <protectedRange sqref="A12:B12 A13:C13" name="Range1_6_1_1_1_1_1_2_1_1_1_3_2_1"/>
    <protectedRange sqref="A16:B18" name="Range1_7_1_1_1_1_1_2_1_1_1_3_2_1"/>
    <protectedRange sqref="A19:C19" name="Range1_8_1_1_1_1_1_2_1_1_1_3_2_1"/>
    <protectedRange sqref="A21:B21" name="Range1_10_1_1_1_1_1_2_1_1_1_3_2_1"/>
    <protectedRange sqref="A22:B22" name="Range1_11_1_1_1_1_1_2_1_1_1_3_2_1"/>
    <protectedRange sqref="A24:C24" name="Range1_12_1_1_1_1_1_2_1_1_1_3_2_1"/>
    <protectedRange sqref="A26:B27" name="Range1_13_1_1_1_1_1_2_1_1_1_3_2_1"/>
    <protectedRange sqref="A29:C29" name="Range1_15_1_1_1_1_1_2_1_1_1_3_2_1"/>
    <protectedRange sqref="A33:B38 C38" name="Range1_16_1_2_1_1_1_2_1_1_1_3_2_1"/>
    <protectedRange sqref="A32:C32" name="Range1_20_1_1_1_1_1_2_1_1_1_3_2_1"/>
    <protectedRange sqref="A31:B31" name="Range1_21_1_1_1_1_1_2_1_1_1_3_2_1"/>
    <protectedRange sqref="A39:B40" name="Range1_16_1_1_1_1_1_1_2_1_1_1_3_2_1"/>
    <protectedRange sqref="A41:C41" name="Range1_18_1_1_1_1_1_2_1_1_1_3_2_1"/>
    <protectedRange sqref="A42:B42" name="Range1_24_1_1_1_1_1_2_1_1_1_3_2_1"/>
    <protectedRange sqref="B78" name="Range1_24_1_1_1_3_1_1_1"/>
  </protectedRanges>
  <pageMargins left="0.7" right="0.7" top="0.75" bottom="0.75" header="0.3" footer="0.3"/>
  <pageSetup paperSize="9" scale="7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55"/>
  <sheetViews>
    <sheetView view="pageBreakPreview" topLeftCell="A130" zoomScale="60" zoomScaleNormal="100" workbookViewId="0">
      <selection activeCell="H144" sqref="H144"/>
    </sheetView>
  </sheetViews>
  <sheetFormatPr defaultColWidth="9.08984375" defaultRowHeight="15.5" x14ac:dyDescent="0.35"/>
  <cols>
    <col min="1" max="1" width="12" style="60" customWidth="1"/>
    <col min="2" max="2" width="49.08984375" style="60" customWidth="1"/>
    <col min="3" max="3" width="20.54296875" style="60" customWidth="1"/>
    <col min="4" max="4" width="18" style="60" customWidth="1"/>
    <col min="5" max="5" width="17.54296875" style="60" customWidth="1"/>
    <col min="6" max="16384" width="9.08984375" style="60"/>
  </cols>
  <sheetData>
    <row r="1" spans="1:5" ht="30.75" customHeight="1" x14ac:dyDescent="0.3">
      <c r="A1" s="862" t="s">
        <v>1007</v>
      </c>
      <c r="B1" s="863"/>
      <c r="C1" s="863"/>
      <c r="D1" s="863"/>
      <c r="E1" s="863"/>
    </row>
    <row r="2" spans="1:5" ht="49.5" customHeight="1" x14ac:dyDescent="0.3">
      <c r="A2" s="566" t="s">
        <v>0</v>
      </c>
      <c r="B2" s="566" t="s">
        <v>453</v>
      </c>
      <c r="C2" s="580" t="s">
        <v>454</v>
      </c>
      <c r="D2" s="580" t="s">
        <v>736</v>
      </c>
      <c r="E2" s="580" t="s">
        <v>1008</v>
      </c>
    </row>
    <row r="3" spans="1:5" ht="18" customHeight="1" x14ac:dyDescent="0.3">
      <c r="A3" s="65">
        <v>2110100</v>
      </c>
      <c r="B3" s="64" t="s">
        <v>311</v>
      </c>
      <c r="C3" s="567">
        <f>C4</f>
        <v>45499976</v>
      </c>
      <c r="D3" s="567">
        <f t="shared" ref="D3:E3" si="0">D4</f>
        <v>47774974.800000004</v>
      </c>
      <c r="E3" s="567">
        <f t="shared" si="0"/>
        <v>50163723.540000007</v>
      </c>
    </row>
    <row r="4" spans="1:5" ht="18" customHeight="1" x14ac:dyDescent="0.3">
      <c r="A4" s="65">
        <v>2110101</v>
      </c>
      <c r="B4" s="65" t="s">
        <v>2</v>
      </c>
      <c r="C4" s="568">
        <v>45499976</v>
      </c>
      <c r="D4" s="568">
        <f>C4*1.05</f>
        <v>47774974.800000004</v>
      </c>
      <c r="E4" s="568">
        <f>D4*1.05</f>
        <v>50163723.540000007</v>
      </c>
    </row>
    <row r="5" spans="1:5" ht="18" customHeight="1" x14ac:dyDescent="0.3">
      <c r="A5" s="64">
        <v>2110300</v>
      </c>
      <c r="B5" s="64" t="s">
        <v>9</v>
      </c>
      <c r="C5" s="567">
        <f>SUM(C6:C7)</f>
        <v>0</v>
      </c>
      <c r="D5" s="567">
        <f t="shared" ref="D5" si="1">SUM(D6:D7)</f>
        <v>0</v>
      </c>
      <c r="E5" s="567"/>
    </row>
    <row r="6" spans="1:5" ht="18" customHeight="1" x14ac:dyDescent="0.3">
      <c r="A6" s="65">
        <v>2110301</v>
      </c>
      <c r="B6" s="65" t="s">
        <v>10</v>
      </c>
      <c r="C6" s="568">
        <v>0</v>
      </c>
      <c r="D6" s="569">
        <f>C6*1.05</f>
        <v>0</v>
      </c>
      <c r="E6" s="569"/>
    </row>
    <row r="7" spans="1:5" ht="18" customHeight="1" x14ac:dyDescent="0.3">
      <c r="A7" s="65">
        <v>2110320</v>
      </c>
      <c r="B7" s="65" t="s">
        <v>293</v>
      </c>
      <c r="C7" s="568"/>
      <c r="D7" s="569">
        <f>C7*1.05</f>
        <v>0</v>
      </c>
      <c r="E7" s="569"/>
    </row>
    <row r="8" spans="1:5" ht="18" customHeight="1" x14ac:dyDescent="0.3">
      <c r="A8" s="65">
        <v>0</v>
      </c>
      <c r="B8" s="65" t="s">
        <v>1009</v>
      </c>
      <c r="C8" s="568"/>
      <c r="D8" s="569"/>
      <c r="E8" s="569"/>
    </row>
    <row r="9" spans="1:5" ht="18" customHeight="1" x14ac:dyDescent="0.3">
      <c r="A9" s="65">
        <v>2710107</v>
      </c>
      <c r="B9" s="65" t="s">
        <v>1010</v>
      </c>
      <c r="C9" s="568"/>
      <c r="D9" s="569"/>
      <c r="E9" s="569"/>
    </row>
    <row r="10" spans="1:5" ht="18" customHeight="1" x14ac:dyDescent="0.3">
      <c r="A10" s="64">
        <v>2210100</v>
      </c>
      <c r="B10" s="64" t="s">
        <v>23</v>
      </c>
      <c r="C10" s="567">
        <f>SUM(C11:C12)</f>
        <v>160000</v>
      </c>
      <c r="D10" s="567">
        <f t="shared" ref="D10:E10" si="2">SUM(D11:D12)</f>
        <v>168000</v>
      </c>
      <c r="E10" s="567">
        <f t="shared" si="2"/>
        <v>176400</v>
      </c>
    </row>
    <row r="11" spans="1:5" ht="18" customHeight="1" x14ac:dyDescent="0.3">
      <c r="A11" s="65">
        <v>2210101</v>
      </c>
      <c r="B11" s="65" t="s">
        <v>24</v>
      </c>
      <c r="C11" s="568">
        <v>100000</v>
      </c>
      <c r="D11" s="569">
        <f>C11*1.05</f>
        <v>105000</v>
      </c>
      <c r="E11" s="569">
        <f t="shared" ref="E11:E12" si="3">D11*1.05</f>
        <v>110250</v>
      </c>
    </row>
    <row r="12" spans="1:5" ht="18" customHeight="1" x14ac:dyDescent="0.3">
      <c r="A12" s="65">
        <v>2210102</v>
      </c>
      <c r="B12" s="65" t="s">
        <v>25</v>
      </c>
      <c r="C12" s="568">
        <v>60000</v>
      </c>
      <c r="D12" s="569">
        <f>C12*1.05</f>
        <v>63000</v>
      </c>
      <c r="E12" s="569">
        <f t="shared" si="3"/>
        <v>66150</v>
      </c>
    </row>
    <row r="13" spans="1:5" ht="18" customHeight="1" x14ac:dyDescent="0.3">
      <c r="A13" s="64">
        <v>2210200</v>
      </c>
      <c r="B13" s="64" t="s">
        <v>26</v>
      </c>
      <c r="C13" s="567">
        <f>SUM(C14:C16)</f>
        <v>500000</v>
      </c>
      <c r="D13" s="567">
        <f t="shared" ref="D13:E13" si="4">SUM(D14:D16)</f>
        <v>525000</v>
      </c>
      <c r="E13" s="567">
        <f t="shared" si="4"/>
        <v>551250</v>
      </c>
    </row>
    <row r="14" spans="1:5" ht="18" customHeight="1" x14ac:dyDescent="0.3">
      <c r="A14" s="65">
        <v>2210201</v>
      </c>
      <c r="B14" s="581" t="s">
        <v>27</v>
      </c>
      <c r="C14" s="570">
        <v>200000</v>
      </c>
      <c r="D14" s="569">
        <f>C14*1.05</f>
        <v>210000</v>
      </c>
      <c r="E14" s="569">
        <f t="shared" ref="E14:E16" si="5">D14*1.05</f>
        <v>220500</v>
      </c>
    </row>
    <row r="15" spans="1:5" ht="18" customHeight="1" x14ac:dyDescent="0.3">
      <c r="A15" s="65">
        <v>2210202</v>
      </c>
      <c r="B15" s="65" t="s">
        <v>457</v>
      </c>
      <c r="C15" s="568">
        <v>300000</v>
      </c>
      <c r="D15" s="569">
        <f>C15*1.05</f>
        <v>315000</v>
      </c>
      <c r="E15" s="569">
        <f t="shared" si="5"/>
        <v>330750</v>
      </c>
    </row>
    <row r="16" spans="1:5" ht="18" customHeight="1" x14ac:dyDescent="0.3">
      <c r="A16" s="65">
        <v>2210203</v>
      </c>
      <c r="B16" s="65" t="s">
        <v>29</v>
      </c>
      <c r="C16" s="570">
        <v>0</v>
      </c>
      <c r="D16" s="569">
        <f>C16*1.05</f>
        <v>0</v>
      </c>
      <c r="E16" s="569">
        <f t="shared" si="5"/>
        <v>0</v>
      </c>
    </row>
    <row r="17" spans="1:5" ht="18" customHeight="1" x14ac:dyDescent="0.3">
      <c r="A17" s="64">
        <v>2210300</v>
      </c>
      <c r="B17" s="64" t="s">
        <v>30</v>
      </c>
      <c r="C17" s="567">
        <f>C18+C19+C20+C21+C22</f>
        <v>5800000</v>
      </c>
      <c r="D17" s="567">
        <f t="shared" ref="D17:E17" si="6">D18+D19+D20+D21+D22</f>
        <v>6090000</v>
      </c>
      <c r="E17" s="567">
        <f t="shared" si="6"/>
        <v>6394500</v>
      </c>
    </row>
    <row r="18" spans="1:5" ht="18" customHeight="1" x14ac:dyDescent="0.3">
      <c r="A18" s="65">
        <v>2210301</v>
      </c>
      <c r="B18" s="65" t="s">
        <v>331</v>
      </c>
      <c r="C18" s="568">
        <v>1300000</v>
      </c>
      <c r="D18" s="569">
        <f>C18*1.05</f>
        <v>1365000</v>
      </c>
      <c r="E18" s="569">
        <f t="shared" ref="E18:E22" si="7">D18*1.05</f>
        <v>1433250</v>
      </c>
    </row>
    <row r="19" spans="1:5" ht="18" customHeight="1" x14ac:dyDescent="0.3">
      <c r="A19" s="65">
        <v>2210302</v>
      </c>
      <c r="B19" s="65" t="s">
        <v>458</v>
      </c>
      <c r="C19" s="570">
        <v>1000000</v>
      </c>
      <c r="D19" s="569">
        <f>C19*1.05</f>
        <v>1050000</v>
      </c>
      <c r="E19" s="569">
        <f t="shared" si="7"/>
        <v>1102500</v>
      </c>
    </row>
    <row r="20" spans="1:5" ht="18" customHeight="1" x14ac:dyDescent="0.3">
      <c r="A20" s="65">
        <v>2210303</v>
      </c>
      <c r="B20" s="65" t="s">
        <v>459</v>
      </c>
      <c r="C20" s="568">
        <v>1500000</v>
      </c>
      <c r="D20" s="569">
        <f>C20*1.05</f>
        <v>1575000</v>
      </c>
      <c r="E20" s="569">
        <f t="shared" si="7"/>
        <v>1653750</v>
      </c>
    </row>
    <row r="21" spans="1:5" ht="18" customHeight="1" x14ac:dyDescent="0.3">
      <c r="A21" s="65">
        <v>2210309</v>
      </c>
      <c r="B21" s="65" t="s">
        <v>460</v>
      </c>
      <c r="C21" s="568">
        <v>0</v>
      </c>
      <c r="D21" s="569">
        <f>C21*1.05</f>
        <v>0</v>
      </c>
      <c r="E21" s="569">
        <f t="shared" si="7"/>
        <v>0</v>
      </c>
    </row>
    <row r="22" spans="1:5" ht="18" customHeight="1" x14ac:dyDescent="0.3">
      <c r="A22" s="65">
        <v>2210310</v>
      </c>
      <c r="B22" s="65" t="s">
        <v>461</v>
      </c>
      <c r="C22" s="568">
        <v>2000000</v>
      </c>
      <c r="D22" s="569">
        <f>C22*1.05</f>
        <v>2100000</v>
      </c>
      <c r="E22" s="569">
        <f t="shared" si="7"/>
        <v>2205000</v>
      </c>
    </row>
    <row r="23" spans="1:5" ht="18" customHeight="1" x14ac:dyDescent="0.3">
      <c r="A23" s="64">
        <v>2210400</v>
      </c>
      <c r="B23" s="64" t="s">
        <v>462</v>
      </c>
      <c r="C23" s="567">
        <f>C24+C25+C26</f>
        <v>0</v>
      </c>
      <c r="D23" s="567">
        <f t="shared" ref="D23:E23" si="8">D24+D25+D26</f>
        <v>0</v>
      </c>
      <c r="E23" s="567">
        <f t="shared" si="8"/>
        <v>0</v>
      </c>
    </row>
    <row r="24" spans="1:5" ht="18" customHeight="1" x14ac:dyDescent="0.3">
      <c r="A24" s="65">
        <v>2210401</v>
      </c>
      <c r="B24" s="65" t="s">
        <v>463</v>
      </c>
      <c r="C24" s="568">
        <v>0</v>
      </c>
      <c r="D24" s="568">
        <f>C24*1.05</f>
        <v>0</v>
      </c>
      <c r="E24" s="568">
        <f>D24*1.05</f>
        <v>0</v>
      </c>
    </row>
    <row r="25" spans="1:5" ht="18" customHeight="1" x14ac:dyDescent="0.3">
      <c r="A25" s="65">
        <v>2210402</v>
      </c>
      <c r="B25" s="65" t="s">
        <v>464</v>
      </c>
      <c r="C25" s="568">
        <v>0</v>
      </c>
      <c r="D25" s="568">
        <f>C25*1.05</f>
        <v>0</v>
      </c>
      <c r="E25" s="568">
        <f>D25*1.05</f>
        <v>0</v>
      </c>
    </row>
    <row r="26" spans="1:5" ht="18" customHeight="1" x14ac:dyDescent="0.3">
      <c r="A26" s="65">
        <v>2210403</v>
      </c>
      <c r="B26" s="65" t="s">
        <v>465</v>
      </c>
      <c r="C26" s="570">
        <f>1000000-1000000</f>
        <v>0</v>
      </c>
      <c r="D26" s="570">
        <f t="shared" ref="D26:E26" si="9">1000000-1000000</f>
        <v>0</v>
      </c>
      <c r="E26" s="570">
        <f t="shared" si="9"/>
        <v>0</v>
      </c>
    </row>
    <row r="27" spans="1:5" ht="18" customHeight="1" x14ac:dyDescent="0.3">
      <c r="A27" s="64">
        <v>2210500</v>
      </c>
      <c r="B27" s="64" t="s">
        <v>38</v>
      </c>
      <c r="C27" s="567">
        <f>C28+C29+C30+C31</f>
        <v>900000</v>
      </c>
      <c r="D27" s="567">
        <f t="shared" ref="D27:E27" si="10">D28+D29+D30+D31</f>
        <v>945000</v>
      </c>
      <c r="E27" s="567">
        <f t="shared" si="10"/>
        <v>992250</v>
      </c>
    </row>
    <row r="28" spans="1:5" ht="18" customHeight="1" x14ac:dyDescent="0.3">
      <c r="A28" s="65">
        <v>2210502</v>
      </c>
      <c r="B28" s="582" t="s">
        <v>201</v>
      </c>
      <c r="C28" s="568">
        <v>0</v>
      </c>
      <c r="D28" s="569">
        <f>C28*1.05</f>
        <v>0</v>
      </c>
      <c r="E28" s="569">
        <f t="shared" ref="E28:E30" si="11">D28*1.05</f>
        <v>0</v>
      </c>
    </row>
    <row r="29" spans="1:5" ht="18" customHeight="1" x14ac:dyDescent="0.3">
      <c r="A29" s="65">
        <v>2210503</v>
      </c>
      <c r="B29" s="582" t="s">
        <v>123</v>
      </c>
      <c r="C29" s="568">
        <v>0</v>
      </c>
      <c r="D29" s="569">
        <f>C29*1.05</f>
        <v>0</v>
      </c>
      <c r="E29" s="569">
        <f t="shared" si="11"/>
        <v>0</v>
      </c>
    </row>
    <row r="30" spans="1:5" ht="18" customHeight="1" x14ac:dyDescent="0.3">
      <c r="A30" s="65">
        <v>2210504</v>
      </c>
      <c r="B30" s="582" t="s">
        <v>125</v>
      </c>
      <c r="C30" s="568">
        <v>900000</v>
      </c>
      <c r="D30" s="569">
        <f>C30*1.05</f>
        <v>945000</v>
      </c>
      <c r="E30" s="569">
        <f t="shared" si="11"/>
        <v>992250</v>
      </c>
    </row>
    <row r="31" spans="1:5" ht="18" customHeight="1" x14ac:dyDescent="0.3">
      <c r="A31" s="65">
        <v>2210505</v>
      </c>
      <c r="B31" s="582" t="s">
        <v>41</v>
      </c>
      <c r="C31" s="568"/>
      <c r="D31" s="569">
        <f>C31*1.05</f>
        <v>0</v>
      </c>
      <c r="E31" s="569"/>
    </row>
    <row r="32" spans="1:5" ht="18" customHeight="1" x14ac:dyDescent="0.3">
      <c r="A32" s="64">
        <v>2210600</v>
      </c>
      <c r="B32" s="64" t="s">
        <v>42</v>
      </c>
      <c r="C32" s="567">
        <f>C33+C34</f>
        <v>0</v>
      </c>
      <c r="D32" s="567">
        <f t="shared" ref="D32:E32" si="12">D33+D34</f>
        <v>0</v>
      </c>
      <c r="E32" s="567">
        <f t="shared" si="12"/>
        <v>0</v>
      </c>
    </row>
    <row r="33" spans="1:5" ht="18" customHeight="1" x14ac:dyDescent="0.3">
      <c r="A33" s="65">
        <v>2210603</v>
      </c>
      <c r="B33" s="65" t="s">
        <v>43</v>
      </c>
      <c r="C33" s="568">
        <v>0</v>
      </c>
      <c r="D33" s="568">
        <v>0</v>
      </c>
      <c r="E33" s="568">
        <v>0</v>
      </c>
    </row>
    <row r="34" spans="1:5" ht="18" customHeight="1" x14ac:dyDescent="0.3">
      <c r="A34" s="65">
        <v>2210604</v>
      </c>
      <c r="B34" s="65" t="s">
        <v>44</v>
      </c>
      <c r="C34" s="568">
        <v>0</v>
      </c>
      <c r="D34" s="568">
        <v>0</v>
      </c>
      <c r="E34" s="568">
        <v>0</v>
      </c>
    </row>
    <row r="35" spans="1:5" ht="18" customHeight="1" x14ac:dyDescent="0.3">
      <c r="A35" s="64">
        <v>2210700</v>
      </c>
      <c r="B35" s="64" t="s">
        <v>45</v>
      </c>
      <c r="C35" s="567">
        <f>C36+C37+C38</f>
        <v>2200000</v>
      </c>
      <c r="D35" s="567">
        <f t="shared" ref="D35:E35" si="13">D36+D37+D38</f>
        <v>2310000</v>
      </c>
      <c r="E35" s="567">
        <f t="shared" si="13"/>
        <v>2425500</v>
      </c>
    </row>
    <row r="36" spans="1:5" ht="18" customHeight="1" x14ac:dyDescent="0.3">
      <c r="A36" s="65">
        <v>2210710</v>
      </c>
      <c r="B36" s="65" t="s">
        <v>411</v>
      </c>
      <c r="C36" s="568">
        <v>1000000</v>
      </c>
      <c r="D36" s="569">
        <f>C36*1.05</f>
        <v>1050000</v>
      </c>
      <c r="E36" s="569">
        <f t="shared" ref="E36:E38" si="14">D36*1.05</f>
        <v>1102500</v>
      </c>
    </row>
    <row r="37" spans="1:5" ht="18" customHeight="1" x14ac:dyDescent="0.3">
      <c r="A37" s="65">
        <v>2210711</v>
      </c>
      <c r="B37" s="65" t="s">
        <v>47</v>
      </c>
      <c r="C37" s="568">
        <v>700000</v>
      </c>
      <c r="D37" s="571">
        <f>C37*1.05</f>
        <v>735000</v>
      </c>
      <c r="E37" s="571">
        <f t="shared" si="14"/>
        <v>771750</v>
      </c>
    </row>
    <row r="38" spans="1:5" ht="18" customHeight="1" x14ac:dyDescent="0.3">
      <c r="A38" s="65">
        <v>2210714</v>
      </c>
      <c r="B38" s="65" t="s">
        <v>467</v>
      </c>
      <c r="C38" s="568">
        <v>500000</v>
      </c>
      <c r="D38" s="571">
        <f>C38*1.05</f>
        <v>525000</v>
      </c>
      <c r="E38" s="571">
        <f t="shared" si="14"/>
        <v>551250</v>
      </c>
    </row>
    <row r="39" spans="1:5" ht="18" customHeight="1" x14ac:dyDescent="0.3">
      <c r="A39" s="64">
        <v>2210800</v>
      </c>
      <c r="B39" s="64" t="s">
        <v>48</v>
      </c>
      <c r="C39" s="567">
        <f>C40+C41+C42</f>
        <v>5500000</v>
      </c>
      <c r="D39" s="567">
        <f t="shared" ref="D39:E39" si="15">D40+D41+D42</f>
        <v>5775000</v>
      </c>
      <c r="E39" s="567">
        <f t="shared" si="15"/>
        <v>6063750</v>
      </c>
    </row>
    <row r="40" spans="1:5" ht="18" customHeight="1" x14ac:dyDescent="0.3">
      <c r="A40" s="65">
        <v>2210801</v>
      </c>
      <c r="B40" s="65" t="s">
        <v>468</v>
      </c>
      <c r="C40" s="568">
        <v>1500000</v>
      </c>
      <c r="D40" s="569">
        <f>C40*1.05</f>
        <v>1575000</v>
      </c>
      <c r="E40" s="569">
        <f t="shared" ref="E40:E42" si="16">D40*1.05</f>
        <v>1653750</v>
      </c>
    </row>
    <row r="41" spans="1:5" ht="18" customHeight="1" x14ac:dyDescent="0.3">
      <c r="A41" s="65">
        <v>2210802</v>
      </c>
      <c r="B41" s="65" t="s">
        <v>207</v>
      </c>
      <c r="C41" s="568">
        <f>2000000</f>
        <v>2000000</v>
      </c>
      <c r="D41" s="569">
        <f>C41*1.05</f>
        <v>2100000</v>
      </c>
      <c r="E41" s="569">
        <f t="shared" si="16"/>
        <v>2205000</v>
      </c>
    </row>
    <row r="42" spans="1:5" ht="18" customHeight="1" x14ac:dyDescent="0.3">
      <c r="A42" s="65">
        <v>2210805</v>
      </c>
      <c r="B42" s="65" t="s">
        <v>469</v>
      </c>
      <c r="C42" s="568">
        <v>2000000</v>
      </c>
      <c r="D42" s="569">
        <f>C42*1.05</f>
        <v>2100000</v>
      </c>
      <c r="E42" s="569">
        <f t="shared" si="16"/>
        <v>2205000</v>
      </c>
    </row>
    <row r="43" spans="1:5" ht="18" customHeight="1" x14ac:dyDescent="0.3">
      <c r="A43" s="64">
        <v>2210900</v>
      </c>
      <c r="B43" s="64" t="s">
        <v>470</v>
      </c>
      <c r="C43" s="567">
        <f>C44</f>
        <v>200000</v>
      </c>
      <c r="D43" s="567">
        <f>C43*1.05</f>
        <v>210000</v>
      </c>
      <c r="E43" s="567">
        <f>D43*1.05</f>
        <v>220500</v>
      </c>
    </row>
    <row r="44" spans="1:5" ht="18" customHeight="1" x14ac:dyDescent="0.3">
      <c r="A44" s="65">
        <v>2210904</v>
      </c>
      <c r="B44" s="65" t="s">
        <v>66</v>
      </c>
      <c r="C44" s="568">
        <v>200000</v>
      </c>
      <c r="D44" s="569">
        <f>C44*1.05</f>
        <v>210000</v>
      </c>
      <c r="E44" s="569">
        <f t="shared" ref="E44" si="17">D44*1.05</f>
        <v>220500</v>
      </c>
    </row>
    <row r="45" spans="1:5" ht="18" customHeight="1" x14ac:dyDescent="0.3">
      <c r="A45" s="64">
        <v>2211000</v>
      </c>
      <c r="B45" s="64" t="s">
        <v>51</v>
      </c>
      <c r="C45" s="567">
        <f>C46+C47</f>
        <v>0</v>
      </c>
      <c r="D45" s="567">
        <f t="shared" ref="D45:E45" si="18">D46+D47</f>
        <v>0</v>
      </c>
      <c r="E45" s="567">
        <f t="shared" si="18"/>
        <v>0</v>
      </c>
    </row>
    <row r="46" spans="1:5" ht="18" customHeight="1" x14ac:dyDescent="0.3">
      <c r="A46" s="65">
        <v>2211009</v>
      </c>
      <c r="B46" s="65" t="s">
        <v>52</v>
      </c>
      <c r="C46" s="568"/>
      <c r="D46" s="568"/>
      <c r="E46" s="568"/>
    </row>
    <row r="47" spans="1:5" ht="18" customHeight="1" x14ac:dyDescent="0.3">
      <c r="A47" s="65">
        <v>2211016</v>
      </c>
      <c r="B47" s="65" t="s">
        <v>1011</v>
      </c>
      <c r="C47" s="568">
        <v>0</v>
      </c>
      <c r="D47" s="568">
        <v>0</v>
      </c>
      <c r="E47" s="568">
        <v>0</v>
      </c>
    </row>
    <row r="48" spans="1:5" ht="18" customHeight="1" x14ac:dyDescent="0.3">
      <c r="A48" s="64">
        <v>2211100</v>
      </c>
      <c r="B48" s="64" t="s">
        <v>56</v>
      </c>
      <c r="C48" s="567">
        <f>C49+C50+C51</f>
        <v>1600000</v>
      </c>
      <c r="D48" s="567">
        <f t="shared" ref="D48:E48" si="19">D49+D50+D51</f>
        <v>1680000</v>
      </c>
      <c r="E48" s="567">
        <f t="shared" si="19"/>
        <v>1764000</v>
      </c>
    </row>
    <row r="49" spans="1:5" ht="18" customHeight="1" x14ac:dyDescent="0.3">
      <c r="A49" s="65">
        <v>2211101</v>
      </c>
      <c r="B49" s="65" t="s">
        <v>228</v>
      </c>
      <c r="C49" s="568">
        <v>600000</v>
      </c>
      <c r="D49" s="569">
        <f>C49*1.05</f>
        <v>630000</v>
      </c>
      <c r="E49" s="569">
        <f t="shared" ref="E49:E51" si="20">D49*1.05</f>
        <v>661500</v>
      </c>
    </row>
    <row r="50" spans="1:5" ht="18" customHeight="1" x14ac:dyDescent="0.3">
      <c r="A50" s="582" t="s">
        <v>229</v>
      </c>
      <c r="B50" s="65" t="s">
        <v>58</v>
      </c>
      <c r="C50" s="570">
        <v>600000</v>
      </c>
      <c r="D50" s="569">
        <f>C50*1.05</f>
        <v>630000</v>
      </c>
      <c r="E50" s="569">
        <f t="shared" si="20"/>
        <v>661500</v>
      </c>
    </row>
    <row r="51" spans="1:5" ht="18" customHeight="1" x14ac:dyDescent="0.3">
      <c r="A51" s="65">
        <v>2211103</v>
      </c>
      <c r="B51" s="65" t="s">
        <v>230</v>
      </c>
      <c r="C51" s="568">
        <v>400000</v>
      </c>
      <c r="D51" s="569">
        <f>C51*1.05</f>
        <v>420000</v>
      </c>
      <c r="E51" s="569">
        <f t="shared" si="20"/>
        <v>441000</v>
      </c>
    </row>
    <row r="52" spans="1:5" ht="18" customHeight="1" x14ac:dyDescent="0.3">
      <c r="A52" s="64">
        <v>2211200</v>
      </c>
      <c r="B52" s="64" t="s">
        <v>60</v>
      </c>
      <c r="C52" s="567">
        <f>C53</f>
        <v>2000000</v>
      </c>
      <c r="D52" s="567">
        <f t="shared" ref="D52:E52" si="21">D53</f>
        <v>2100000</v>
      </c>
      <c r="E52" s="567">
        <f t="shared" si="21"/>
        <v>2205000</v>
      </c>
    </row>
    <row r="53" spans="1:5" ht="18" customHeight="1" x14ac:dyDescent="0.3">
      <c r="A53" s="65">
        <v>2211201</v>
      </c>
      <c r="B53" s="65" t="s">
        <v>61</v>
      </c>
      <c r="C53" s="568">
        <v>2000000</v>
      </c>
      <c r="D53" s="569">
        <f>C53*1.05</f>
        <v>2100000</v>
      </c>
      <c r="E53" s="569">
        <f t="shared" ref="E53" si="22">D53*1.05</f>
        <v>2205000</v>
      </c>
    </row>
    <row r="54" spans="1:5" ht="18" customHeight="1" x14ac:dyDescent="0.3">
      <c r="A54" s="64">
        <v>2211300</v>
      </c>
      <c r="B54" s="64" t="s">
        <v>62</v>
      </c>
      <c r="C54" s="567">
        <f>C55+C56+C57+C58+C59+C60</f>
        <v>2124807</v>
      </c>
      <c r="D54" s="567">
        <f t="shared" ref="D54:E54" si="23">D55+D56+D57+D58+D59+D60</f>
        <v>2231047.35</v>
      </c>
      <c r="E54" s="567">
        <f t="shared" si="23"/>
        <v>2342599.7174999998</v>
      </c>
    </row>
    <row r="55" spans="1:5" ht="18" customHeight="1" x14ac:dyDescent="0.3">
      <c r="A55" s="65">
        <v>2211301</v>
      </c>
      <c r="B55" s="65" t="s">
        <v>63</v>
      </c>
      <c r="C55" s="568"/>
      <c r="D55" s="572">
        <f t="shared" ref="D55:E60" si="24">C55*1.05</f>
        <v>0</v>
      </c>
      <c r="E55" s="572"/>
    </row>
    <row r="56" spans="1:5" ht="18" customHeight="1" x14ac:dyDescent="0.3">
      <c r="A56" s="65">
        <v>2211306</v>
      </c>
      <c r="B56" s="65" t="s">
        <v>65</v>
      </c>
      <c r="C56" s="568">
        <v>100000</v>
      </c>
      <c r="D56" s="569">
        <f t="shared" si="24"/>
        <v>105000</v>
      </c>
      <c r="E56" s="569">
        <f t="shared" si="24"/>
        <v>110250</v>
      </c>
    </row>
    <row r="57" spans="1:5" ht="18" customHeight="1" x14ac:dyDescent="0.3">
      <c r="A57" s="582" t="s">
        <v>419</v>
      </c>
      <c r="B57" s="65" t="s">
        <v>471</v>
      </c>
      <c r="C57" s="573">
        <f>3788138-1164502-2598829</f>
        <v>24807</v>
      </c>
      <c r="D57" s="569">
        <f t="shared" si="24"/>
        <v>26047.350000000002</v>
      </c>
      <c r="E57" s="569">
        <f t="shared" si="24"/>
        <v>27349.717500000002</v>
      </c>
    </row>
    <row r="58" spans="1:5" ht="18" customHeight="1" x14ac:dyDescent="0.3">
      <c r="A58" s="65">
        <v>2410104</v>
      </c>
      <c r="B58" s="65" t="s">
        <v>472</v>
      </c>
      <c r="C58" s="568">
        <v>0</v>
      </c>
      <c r="D58" s="569">
        <f t="shared" si="24"/>
        <v>0</v>
      </c>
      <c r="E58" s="569">
        <f t="shared" si="24"/>
        <v>0</v>
      </c>
    </row>
    <row r="59" spans="1:5" ht="18" customHeight="1" x14ac:dyDescent="0.3">
      <c r="A59" s="582" t="s">
        <v>473</v>
      </c>
      <c r="B59" s="65" t="s">
        <v>474</v>
      </c>
      <c r="C59" s="568">
        <v>2000000</v>
      </c>
      <c r="D59" s="569">
        <f t="shared" si="24"/>
        <v>2100000</v>
      </c>
      <c r="E59" s="569">
        <f t="shared" si="24"/>
        <v>2205000</v>
      </c>
    </row>
    <row r="60" spans="1:5" ht="18" customHeight="1" x14ac:dyDescent="0.3">
      <c r="A60" s="65">
        <v>3110704</v>
      </c>
      <c r="B60" s="65" t="s">
        <v>475</v>
      </c>
      <c r="C60" s="568">
        <v>0</v>
      </c>
      <c r="D60" s="572">
        <f t="shared" si="24"/>
        <v>0</v>
      </c>
      <c r="E60" s="572">
        <f t="shared" si="24"/>
        <v>0</v>
      </c>
    </row>
    <row r="61" spans="1:5" ht="18" customHeight="1" x14ac:dyDescent="0.3">
      <c r="A61" s="64">
        <v>2220100</v>
      </c>
      <c r="B61" s="64" t="s">
        <v>71</v>
      </c>
      <c r="C61" s="567">
        <f>C62</f>
        <v>400000</v>
      </c>
      <c r="D61" s="567">
        <f t="shared" ref="D61:E61" si="25">D62</f>
        <v>420000</v>
      </c>
      <c r="E61" s="567">
        <f t="shared" si="25"/>
        <v>441000</v>
      </c>
    </row>
    <row r="62" spans="1:5" ht="18" customHeight="1" x14ac:dyDescent="0.3">
      <c r="A62" s="65">
        <v>2220101</v>
      </c>
      <c r="B62" s="65" t="s">
        <v>72</v>
      </c>
      <c r="C62" s="568">
        <v>400000</v>
      </c>
      <c r="D62" s="569">
        <f>C62*1.05</f>
        <v>420000</v>
      </c>
      <c r="E62" s="569">
        <f t="shared" ref="E62:E64" si="26">D62*1.05</f>
        <v>441000</v>
      </c>
    </row>
    <row r="63" spans="1:5" ht="18" customHeight="1" x14ac:dyDescent="0.3">
      <c r="A63" s="64">
        <v>3110900</v>
      </c>
      <c r="B63" s="64" t="s">
        <v>81</v>
      </c>
      <c r="C63" s="567"/>
      <c r="D63" s="572">
        <f t="shared" ref="D63:D64" si="27">C63*1.05</f>
        <v>0</v>
      </c>
      <c r="E63" s="572">
        <f t="shared" si="26"/>
        <v>0</v>
      </c>
    </row>
    <row r="64" spans="1:5" ht="18" customHeight="1" x14ac:dyDescent="0.3">
      <c r="A64" s="65">
        <v>3110901</v>
      </c>
      <c r="B64" s="65" t="s">
        <v>477</v>
      </c>
      <c r="C64" s="568"/>
      <c r="D64" s="569">
        <f t="shared" si="27"/>
        <v>0</v>
      </c>
      <c r="E64" s="569">
        <f t="shared" si="26"/>
        <v>0</v>
      </c>
    </row>
    <row r="65" spans="1:5" ht="18" customHeight="1" x14ac:dyDescent="0.3">
      <c r="A65" s="64">
        <v>3111000</v>
      </c>
      <c r="B65" s="64" t="s">
        <v>82</v>
      </c>
      <c r="C65" s="567">
        <f>C66+C67+C68</f>
        <v>1050000</v>
      </c>
      <c r="D65" s="567">
        <f t="shared" ref="D65:E65" si="28">D66+D67+D68</f>
        <v>1102500</v>
      </c>
      <c r="E65" s="567">
        <f t="shared" si="28"/>
        <v>1157625</v>
      </c>
    </row>
    <row r="66" spans="1:5" ht="18" customHeight="1" x14ac:dyDescent="0.3">
      <c r="A66" s="65">
        <v>3111001</v>
      </c>
      <c r="B66" s="65" t="s">
        <v>83</v>
      </c>
      <c r="C66" s="568">
        <v>500000</v>
      </c>
      <c r="D66" s="569">
        <f>C66*1.05</f>
        <v>525000</v>
      </c>
      <c r="E66" s="569">
        <f t="shared" ref="E66:E68" si="29">D66*1.05</f>
        <v>551250</v>
      </c>
    </row>
    <row r="67" spans="1:5" ht="18" customHeight="1" x14ac:dyDescent="0.3">
      <c r="A67" s="65">
        <v>3111002</v>
      </c>
      <c r="B67" s="65" t="s">
        <v>84</v>
      </c>
      <c r="C67" s="568">
        <v>550000</v>
      </c>
      <c r="D67" s="569">
        <f>C67*1.05</f>
        <v>577500</v>
      </c>
      <c r="E67" s="569">
        <f t="shared" si="29"/>
        <v>606375</v>
      </c>
    </row>
    <row r="68" spans="1:5" ht="18" customHeight="1" x14ac:dyDescent="0.3">
      <c r="A68" s="65">
        <v>3111401</v>
      </c>
      <c r="B68" s="582" t="s">
        <v>478</v>
      </c>
      <c r="C68" s="568">
        <v>0</v>
      </c>
      <c r="D68" s="569">
        <f>C68*1.05</f>
        <v>0</v>
      </c>
      <c r="E68" s="569">
        <f t="shared" si="29"/>
        <v>0</v>
      </c>
    </row>
    <row r="69" spans="1:5" ht="18" customHeight="1" x14ac:dyDescent="0.3">
      <c r="A69" s="64"/>
      <c r="B69" s="64" t="s">
        <v>479</v>
      </c>
      <c r="C69" s="567">
        <f>C3+C10+C13+C17+C23+C27+C35+C39+C43+C48+C52+C54+C61+C65</f>
        <v>67934783</v>
      </c>
      <c r="D69" s="567">
        <f t="shared" ref="D69:E69" si="30">D3+D10+D13+D17+D23+D27+D35+D39+D43+D48+D52+D54+D61+D65</f>
        <v>71331522.150000006</v>
      </c>
      <c r="E69" s="567">
        <f t="shared" si="30"/>
        <v>74898098.257500008</v>
      </c>
    </row>
    <row r="70" spans="1:5" ht="18" customHeight="1" x14ac:dyDescent="0.3">
      <c r="A70" s="65"/>
      <c r="B70" s="64" t="s">
        <v>480</v>
      </c>
      <c r="C70" s="567"/>
      <c r="D70" s="572">
        <f>C70*1.05</f>
        <v>0</v>
      </c>
      <c r="E70" s="572">
        <f t="shared" ref="E70:E71" si="31">D70*1.05</f>
        <v>0</v>
      </c>
    </row>
    <row r="71" spans="1:5" ht="18" customHeight="1" x14ac:dyDescent="0.3">
      <c r="A71" s="582">
        <v>3110504</v>
      </c>
      <c r="B71" s="582" t="s">
        <v>481</v>
      </c>
      <c r="C71" s="573">
        <f>34683755+300-594655-15000000-924737.3</f>
        <v>18164662.699999999</v>
      </c>
      <c r="D71" s="569">
        <f>C71*1.05</f>
        <v>19072895.835000001</v>
      </c>
      <c r="E71" s="569">
        <f t="shared" si="31"/>
        <v>20026540.626750004</v>
      </c>
    </row>
    <row r="72" spans="1:5" ht="18" customHeight="1" x14ac:dyDescent="0.3">
      <c r="A72" s="582">
        <v>2410104</v>
      </c>
      <c r="B72" s="582" t="s">
        <v>472</v>
      </c>
      <c r="C72" s="573">
        <f>1189309-594654</f>
        <v>594655</v>
      </c>
      <c r="D72" s="569"/>
      <c r="E72" s="569"/>
    </row>
    <row r="73" spans="1:5" ht="18" customHeight="1" x14ac:dyDescent="0.3">
      <c r="A73" s="582"/>
      <c r="B73" s="583" t="s">
        <v>738</v>
      </c>
      <c r="C73" s="568"/>
      <c r="D73" s="569"/>
      <c r="E73" s="569"/>
    </row>
    <row r="74" spans="1:5" ht="18" customHeight="1" x14ac:dyDescent="0.3">
      <c r="A74" s="582"/>
      <c r="B74" s="583" t="s">
        <v>739</v>
      </c>
      <c r="C74" s="568"/>
      <c r="D74" s="569"/>
      <c r="E74" s="569"/>
    </row>
    <row r="75" spans="1:5" ht="18" customHeight="1" x14ac:dyDescent="0.3">
      <c r="A75" s="582">
        <v>2420203</v>
      </c>
      <c r="B75" s="582" t="s">
        <v>777</v>
      </c>
      <c r="C75" s="568">
        <v>10000000</v>
      </c>
      <c r="D75" s="569">
        <f>C75*1.05</f>
        <v>10500000</v>
      </c>
      <c r="E75" s="569">
        <f>D75*1.05</f>
        <v>11025000</v>
      </c>
    </row>
    <row r="76" spans="1:5" ht="18" customHeight="1" x14ac:dyDescent="0.3">
      <c r="A76" s="582">
        <v>2420203</v>
      </c>
      <c r="B76" s="582" t="s">
        <v>776</v>
      </c>
      <c r="C76" s="575">
        <v>10000000</v>
      </c>
      <c r="D76" s="569">
        <f>C76*1.05</f>
        <v>10500000</v>
      </c>
      <c r="E76" s="569">
        <f>D76*1.05</f>
        <v>11025000</v>
      </c>
    </row>
    <row r="77" spans="1:5" ht="18" customHeight="1" x14ac:dyDescent="0.3">
      <c r="A77" s="64"/>
      <c r="B77" s="64" t="s">
        <v>160</v>
      </c>
      <c r="C77" s="567">
        <f>SUM(C71:C76)</f>
        <v>38759317.700000003</v>
      </c>
      <c r="D77" s="567">
        <f>SUM(D71:D76)</f>
        <v>40072895.835000001</v>
      </c>
      <c r="E77" s="567">
        <f>SUM(E71:E76)</f>
        <v>42076540.626750007</v>
      </c>
    </row>
    <row r="78" spans="1:5" ht="18" customHeight="1" x14ac:dyDescent="0.3">
      <c r="A78" s="64"/>
      <c r="B78" s="705" t="s">
        <v>1277</v>
      </c>
      <c r="C78" s="567">
        <f>C69+C77</f>
        <v>106694100.7</v>
      </c>
      <c r="D78" s="567">
        <f>D69+D77</f>
        <v>111404417.98500001</v>
      </c>
      <c r="E78" s="567">
        <f>E69+E77</f>
        <v>116974638.88425002</v>
      </c>
    </row>
    <row r="79" spans="1:5" ht="18" customHeight="1" x14ac:dyDescent="0.3">
      <c r="A79" s="64"/>
      <c r="B79" s="705" t="s">
        <v>1193</v>
      </c>
      <c r="C79" s="567">
        <f>'Local Rev.'!D106</f>
        <v>25253042.095695499</v>
      </c>
      <c r="D79" s="569">
        <f>C79*1.05</f>
        <v>26515694.200480275</v>
      </c>
      <c r="E79" s="569">
        <f>D79*1.05</f>
        <v>27841478.910504289</v>
      </c>
    </row>
    <row r="80" spans="1:5" ht="18" customHeight="1" x14ac:dyDescent="0.3">
      <c r="A80" s="64"/>
      <c r="B80" s="705" t="s">
        <v>1278</v>
      </c>
      <c r="C80" s="567">
        <f>C78-C79</f>
        <v>81441058.604304507</v>
      </c>
      <c r="D80" s="567">
        <f t="shared" ref="D80:E80" si="32">D78-D79</f>
        <v>84888723.784519732</v>
      </c>
      <c r="E80" s="567">
        <f t="shared" si="32"/>
        <v>89133159.973745733</v>
      </c>
    </row>
    <row r="81" spans="1:5" ht="38.25" customHeight="1" x14ac:dyDescent="0.3">
      <c r="A81" s="864" t="s">
        <v>740</v>
      </c>
      <c r="B81" s="864"/>
      <c r="C81" s="864"/>
      <c r="D81" s="864"/>
      <c r="E81" s="864"/>
    </row>
    <row r="82" spans="1:5" ht="45.75" customHeight="1" x14ac:dyDescent="0.3">
      <c r="A82" s="580" t="s">
        <v>0</v>
      </c>
      <c r="B82" s="580" t="s">
        <v>743</v>
      </c>
      <c r="C82" s="576" t="s">
        <v>482</v>
      </c>
      <c r="D82" s="576" t="s">
        <v>697</v>
      </c>
      <c r="E82" s="576" t="s">
        <v>796</v>
      </c>
    </row>
    <row r="83" spans="1:5" ht="18" customHeight="1" x14ac:dyDescent="0.3">
      <c r="A83" s="584">
        <v>2110100</v>
      </c>
      <c r="B83" s="584" t="s">
        <v>483</v>
      </c>
      <c r="C83" s="578">
        <f>C84</f>
        <v>12649658</v>
      </c>
      <c r="D83" s="578">
        <f t="shared" ref="D83:E83" si="33">D84</f>
        <v>13282140.9</v>
      </c>
      <c r="E83" s="578">
        <f t="shared" si="33"/>
        <v>13946247.945</v>
      </c>
    </row>
    <row r="84" spans="1:5" ht="18" customHeight="1" x14ac:dyDescent="0.3">
      <c r="A84" s="585">
        <v>2110101</v>
      </c>
      <c r="B84" s="585" t="s">
        <v>484</v>
      </c>
      <c r="C84" s="586">
        <v>12649658</v>
      </c>
      <c r="D84" s="587">
        <f>C84*1.05</f>
        <v>13282140.9</v>
      </c>
      <c r="E84" s="587">
        <f t="shared" ref="E84" si="34">D84*1.05</f>
        <v>13946247.945</v>
      </c>
    </row>
    <row r="85" spans="1:5" ht="18" customHeight="1" x14ac:dyDescent="0.3">
      <c r="A85" s="584">
        <v>2110200</v>
      </c>
      <c r="B85" s="584" t="s">
        <v>485</v>
      </c>
      <c r="C85" s="578">
        <f>C86</f>
        <v>0</v>
      </c>
      <c r="D85" s="578">
        <f t="shared" ref="D85:E85" si="35">D86</f>
        <v>0</v>
      </c>
      <c r="E85" s="578">
        <f t="shared" si="35"/>
        <v>0</v>
      </c>
    </row>
    <row r="86" spans="1:5" ht="18" customHeight="1" x14ac:dyDescent="0.3">
      <c r="A86" s="585">
        <v>2110201</v>
      </c>
      <c r="B86" s="585" t="s">
        <v>6</v>
      </c>
      <c r="C86" s="586">
        <v>0</v>
      </c>
      <c r="D86" s="587">
        <f>C86*1.05</f>
        <v>0</v>
      </c>
      <c r="E86" s="587">
        <f t="shared" ref="E86" si="36">D86*1.05</f>
        <v>0</v>
      </c>
    </row>
    <row r="87" spans="1:5" ht="18" customHeight="1" x14ac:dyDescent="0.3">
      <c r="A87" s="584">
        <v>2110300</v>
      </c>
      <c r="B87" s="584" t="s">
        <v>486</v>
      </c>
      <c r="C87" s="578">
        <f>C88</f>
        <v>0</v>
      </c>
      <c r="D87" s="578">
        <f t="shared" ref="D87:E87" si="37">D88</f>
        <v>0</v>
      </c>
      <c r="E87" s="578">
        <f t="shared" si="37"/>
        <v>0</v>
      </c>
    </row>
    <row r="88" spans="1:5" ht="18" customHeight="1" x14ac:dyDescent="0.3">
      <c r="A88" s="585">
        <v>2110301</v>
      </c>
      <c r="B88" s="585" t="s">
        <v>487</v>
      </c>
      <c r="C88" s="586">
        <v>0</v>
      </c>
      <c r="D88" s="587">
        <f>C88*1.05</f>
        <v>0</v>
      </c>
      <c r="E88" s="587">
        <f t="shared" ref="E88" si="38">D88*1.05</f>
        <v>0</v>
      </c>
    </row>
    <row r="89" spans="1:5" ht="18" customHeight="1" x14ac:dyDescent="0.3">
      <c r="A89" s="584">
        <v>2210100</v>
      </c>
      <c r="B89" s="584" t="s">
        <v>488</v>
      </c>
      <c r="C89" s="578">
        <f>SUM(C90:C91)</f>
        <v>130000</v>
      </c>
      <c r="D89" s="578">
        <f t="shared" ref="D89:E89" si="39">SUM(D90:D91)</f>
        <v>136500</v>
      </c>
      <c r="E89" s="578">
        <f t="shared" si="39"/>
        <v>143325</v>
      </c>
    </row>
    <row r="90" spans="1:5" ht="18" customHeight="1" x14ac:dyDescent="0.3">
      <c r="A90" s="585">
        <v>2210101</v>
      </c>
      <c r="B90" s="585" t="s">
        <v>489</v>
      </c>
      <c r="C90" s="586">
        <v>80000</v>
      </c>
      <c r="D90" s="587">
        <f>C90*1.05</f>
        <v>84000</v>
      </c>
      <c r="E90" s="587">
        <f t="shared" ref="E90:E91" si="40">D90*1.05</f>
        <v>88200</v>
      </c>
    </row>
    <row r="91" spans="1:5" ht="18" customHeight="1" x14ac:dyDescent="0.3">
      <c r="A91" s="585">
        <v>2210102</v>
      </c>
      <c r="B91" s="585" t="s">
        <v>490</v>
      </c>
      <c r="C91" s="586">
        <v>50000</v>
      </c>
      <c r="D91" s="587">
        <f>C91*1.05</f>
        <v>52500</v>
      </c>
      <c r="E91" s="587">
        <f t="shared" si="40"/>
        <v>55125</v>
      </c>
    </row>
    <row r="92" spans="1:5" ht="18" customHeight="1" x14ac:dyDescent="0.3">
      <c r="A92" s="584">
        <v>2210200</v>
      </c>
      <c r="B92" s="584" t="s">
        <v>491</v>
      </c>
      <c r="C92" s="578">
        <f>SUM(C93:C95)</f>
        <v>450000</v>
      </c>
      <c r="D92" s="578">
        <f t="shared" ref="D92:E92" si="41">SUM(D93:D95)</f>
        <v>472500</v>
      </c>
      <c r="E92" s="578">
        <f t="shared" si="41"/>
        <v>496125</v>
      </c>
    </row>
    <row r="93" spans="1:5" ht="26.25" customHeight="1" x14ac:dyDescent="0.3">
      <c r="A93" s="585">
        <v>2210201</v>
      </c>
      <c r="B93" s="585" t="s">
        <v>492</v>
      </c>
      <c r="C93" s="579">
        <v>200000</v>
      </c>
      <c r="D93" s="587">
        <f>C93*1.05</f>
        <v>210000</v>
      </c>
      <c r="E93" s="587">
        <f t="shared" ref="E93:E95" si="42">D93*1.05</f>
        <v>220500</v>
      </c>
    </row>
    <row r="94" spans="1:5" ht="18" customHeight="1" x14ac:dyDescent="0.3">
      <c r="A94" s="585">
        <v>2210202</v>
      </c>
      <c r="B94" s="585" t="s">
        <v>493</v>
      </c>
      <c r="C94" s="586">
        <v>250000</v>
      </c>
      <c r="D94" s="587">
        <f>C94*1.05</f>
        <v>262500</v>
      </c>
      <c r="E94" s="587">
        <f t="shared" si="42"/>
        <v>275625</v>
      </c>
    </row>
    <row r="95" spans="1:5" ht="18" customHeight="1" x14ac:dyDescent="0.3">
      <c r="A95" s="585">
        <v>2210203</v>
      </c>
      <c r="B95" s="585" t="s">
        <v>494</v>
      </c>
      <c r="C95" s="586">
        <v>0</v>
      </c>
      <c r="D95" s="587">
        <f>C95*1.05</f>
        <v>0</v>
      </c>
      <c r="E95" s="587">
        <f t="shared" si="42"/>
        <v>0</v>
      </c>
    </row>
    <row r="96" spans="1:5" ht="28.5" customHeight="1" x14ac:dyDescent="0.3">
      <c r="A96" s="584">
        <v>2210300</v>
      </c>
      <c r="B96" s="584" t="s">
        <v>495</v>
      </c>
      <c r="C96" s="578">
        <f>SUM(C97:C101)</f>
        <v>2500000</v>
      </c>
      <c r="D96" s="578">
        <f t="shared" ref="D96:E96" si="43">SUM(D97:D101)</f>
        <v>2625000</v>
      </c>
      <c r="E96" s="578">
        <f t="shared" si="43"/>
        <v>2756250</v>
      </c>
    </row>
    <row r="97" spans="1:5" ht="18" customHeight="1" x14ac:dyDescent="0.3">
      <c r="A97" s="585">
        <v>2210301</v>
      </c>
      <c r="B97" s="585" t="s">
        <v>496</v>
      </c>
      <c r="C97" s="586">
        <v>500000</v>
      </c>
      <c r="D97" s="587">
        <f>C97*1.05</f>
        <v>525000</v>
      </c>
      <c r="E97" s="587">
        <f t="shared" ref="E97:E101" si="44">D97*1.05</f>
        <v>551250</v>
      </c>
    </row>
    <row r="98" spans="1:5" ht="18" customHeight="1" x14ac:dyDescent="0.3">
      <c r="A98" s="585">
        <v>2210302</v>
      </c>
      <c r="B98" s="585" t="s">
        <v>497</v>
      </c>
      <c r="C98" s="579">
        <f>-400000+1000000</f>
        <v>600000</v>
      </c>
      <c r="D98" s="587">
        <f>C98*1.05</f>
        <v>630000</v>
      </c>
      <c r="E98" s="587">
        <f t="shared" si="44"/>
        <v>661500</v>
      </c>
    </row>
    <row r="99" spans="1:5" ht="18" customHeight="1" x14ac:dyDescent="0.3">
      <c r="A99" s="585">
        <v>2210303</v>
      </c>
      <c r="B99" s="585" t="s">
        <v>498</v>
      </c>
      <c r="C99" s="579">
        <f>1000000-400000</f>
        <v>600000</v>
      </c>
      <c r="D99" s="587">
        <f>C99*1.05</f>
        <v>630000</v>
      </c>
      <c r="E99" s="587">
        <f t="shared" si="44"/>
        <v>661500</v>
      </c>
    </row>
    <row r="100" spans="1:5" ht="27.75" customHeight="1" x14ac:dyDescent="0.3">
      <c r="A100" s="585">
        <v>2210309</v>
      </c>
      <c r="B100" s="585" t="s">
        <v>499</v>
      </c>
      <c r="C100" s="579">
        <v>0</v>
      </c>
      <c r="D100" s="587">
        <f>C100*1.05</f>
        <v>0</v>
      </c>
      <c r="E100" s="587">
        <f t="shared" si="44"/>
        <v>0</v>
      </c>
    </row>
    <row r="101" spans="1:5" ht="18" customHeight="1" x14ac:dyDescent="0.3">
      <c r="A101" s="585">
        <v>2210310</v>
      </c>
      <c r="B101" s="585" t="s">
        <v>461</v>
      </c>
      <c r="C101" s="579">
        <f>-1000000+1800000</f>
        <v>800000</v>
      </c>
      <c r="D101" s="587">
        <f>C101*1.05</f>
        <v>840000</v>
      </c>
      <c r="E101" s="587">
        <f t="shared" si="44"/>
        <v>882000</v>
      </c>
    </row>
    <row r="102" spans="1:5" ht="18" customHeight="1" x14ac:dyDescent="0.3">
      <c r="A102" s="584">
        <v>2210400</v>
      </c>
      <c r="B102" s="584" t="s">
        <v>500</v>
      </c>
      <c r="C102" s="577">
        <f>SUM(C103:C104)</f>
        <v>0</v>
      </c>
      <c r="D102" s="578">
        <f t="shared" ref="D102:E102" si="45">SUM(D103:D104)</f>
        <v>0</v>
      </c>
      <c r="E102" s="578">
        <f t="shared" si="45"/>
        <v>0</v>
      </c>
    </row>
    <row r="103" spans="1:5" ht="29.25" customHeight="1" x14ac:dyDescent="0.3">
      <c r="A103" s="585">
        <v>2210401</v>
      </c>
      <c r="B103" s="585" t="s">
        <v>501</v>
      </c>
      <c r="C103" s="586">
        <v>0</v>
      </c>
      <c r="D103" s="587">
        <f>C103*1.05</f>
        <v>0</v>
      </c>
      <c r="E103" s="587">
        <f t="shared" ref="E103:E104" si="46">D103*1.05</f>
        <v>0</v>
      </c>
    </row>
    <row r="104" spans="1:5" ht="24" customHeight="1" x14ac:dyDescent="0.3">
      <c r="A104" s="585">
        <v>2210403</v>
      </c>
      <c r="B104" s="585" t="s">
        <v>502</v>
      </c>
      <c r="C104" s="586">
        <f>800000-800000</f>
        <v>0</v>
      </c>
      <c r="D104" s="587">
        <f>C104*1.05</f>
        <v>0</v>
      </c>
      <c r="E104" s="587">
        <f t="shared" si="46"/>
        <v>0</v>
      </c>
    </row>
    <row r="105" spans="1:5" ht="31.5" customHeight="1" x14ac:dyDescent="0.3">
      <c r="A105" s="584">
        <v>2210500</v>
      </c>
      <c r="B105" s="584" t="s">
        <v>503</v>
      </c>
      <c r="C105" s="578">
        <f>SUM(C106:C108)</f>
        <v>216355</v>
      </c>
      <c r="D105" s="578">
        <f>SUM(D106:D108)</f>
        <v>227172.75</v>
      </c>
      <c r="E105" s="578">
        <f>SUM(E106:E108)</f>
        <v>238531.38750000001</v>
      </c>
    </row>
    <row r="106" spans="1:5" ht="18" customHeight="1" x14ac:dyDescent="0.3">
      <c r="A106" s="585">
        <v>2210503</v>
      </c>
      <c r="B106" s="585" t="s">
        <v>504</v>
      </c>
      <c r="C106" s="586">
        <v>0</v>
      </c>
      <c r="D106" s="587">
        <f>C106*1.05</f>
        <v>0</v>
      </c>
      <c r="E106" s="587">
        <f t="shared" ref="E106:E108" si="47">D106*1.05</f>
        <v>0</v>
      </c>
    </row>
    <row r="107" spans="1:5" ht="18" customHeight="1" x14ac:dyDescent="0.3">
      <c r="A107" s="585">
        <v>2210502</v>
      </c>
      <c r="B107" s="585" t="s">
        <v>505</v>
      </c>
      <c r="C107" s="586">
        <v>0</v>
      </c>
      <c r="D107" s="587">
        <f>C107*1.05</f>
        <v>0</v>
      </c>
      <c r="E107" s="587">
        <f t="shared" si="47"/>
        <v>0</v>
      </c>
    </row>
    <row r="108" spans="1:5" ht="18" customHeight="1" x14ac:dyDescent="0.3">
      <c r="A108" s="585">
        <v>2210504</v>
      </c>
      <c r="B108" s="585" t="s">
        <v>506</v>
      </c>
      <c r="C108" s="586">
        <f>230000-13645</f>
        <v>216355</v>
      </c>
      <c r="D108" s="587">
        <f>C108*1.05</f>
        <v>227172.75</v>
      </c>
      <c r="E108" s="587">
        <f t="shared" si="47"/>
        <v>238531.38750000001</v>
      </c>
    </row>
    <row r="109" spans="1:5" ht="18" customHeight="1" x14ac:dyDescent="0.3">
      <c r="A109" s="64">
        <v>2210600</v>
      </c>
      <c r="B109" s="64" t="s">
        <v>42</v>
      </c>
      <c r="C109" s="578">
        <f>SUM(C110:C111)</f>
        <v>0</v>
      </c>
      <c r="D109" s="578">
        <f t="shared" ref="D109:E109" si="48">SUM(D110:D111)</f>
        <v>0</v>
      </c>
      <c r="E109" s="578">
        <f t="shared" si="48"/>
        <v>0</v>
      </c>
    </row>
    <row r="110" spans="1:5" ht="18" customHeight="1" x14ac:dyDescent="0.3">
      <c r="A110" s="65">
        <v>2210603</v>
      </c>
      <c r="B110" s="65" t="s">
        <v>43</v>
      </c>
      <c r="C110" s="586">
        <v>0</v>
      </c>
      <c r="D110" s="587">
        <f>C110*1.05</f>
        <v>0</v>
      </c>
      <c r="E110" s="587">
        <f t="shared" ref="E110:E111" si="49">D110*1.05</f>
        <v>0</v>
      </c>
    </row>
    <row r="111" spans="1:5" ht="18" customHeight="1" x14ac:dyDescent="0.3">
      <c r="A111" s="65">
        <v>2210604</v>
      </c>
      <c r="B111" s="65" t="s">
        <v>44</v>
      </c>
      <c r="C111" s="586"/>
      <c r="D111" s="587">
        <f>C111*1.05</f>
        <v>0</v>
      </c>
      <c r="E111" s="587">
        <f t="shared" si="49"/>
        <v>0</v>
      </c>
    </row>
    <row r="112" spans="1:5" ht="18" customHeight="1" x14ac:dyDescent="0.3">
      <c r="A112" s="584">
        <v>2210700</v>
      </c>
      <c r="B112" s="584" t="s">
        <v>507</v>
      </c>
      <c r="C112" s="578">
        <f>SUM(C113:C114)</f>
        <v>400000</v>
      </c>
      <c r="D112" s="578">
        <f>SUM(D113:D114)</f>
        <v>420000</v>
      </c>
      <c r="E112" s="578">
        <f>SUM(E113:E114)</f>
        <v>441000</v>
      </c>
    </row>
    <row r="113" spans="1:5" ht="18" customHeight="1" x14ac:dyDescent="0.3">
      <c r="A113" s="585">
        <v>2210710</v>
      </c>
      <c r="B113" s="585" t="s">
        <v>497</v>
      </c>
      <c r="C113" s="586"/>
      <c r="D113" s="587">
        <f>C113*1.05</f>
        <v>0</v>
      </c>
      <c r="E113" s="587">
        <f t="shared" ref="E113:E114" si="50">D113*1.05</f>
        <v>0</v>
      </c>
    </row>
    <row r="114" spans="1:5" ht="18" customHeight="1" x14ac:dyDescent="0.3">
      <c r="A114" s="585">
        <v>2210711</v>
      </c>
      <c r="B114" s="585" t="s">
        <v>508</v>
      </c>
      <c r="C114" s="586">
        <v>400000</v>
      </c>
      <c r="D114" s="587">
        <f>C114*1.05</f>
        <v>420000</v>
      </c>
      <c r="E114" s="587">
        <f t="shared" si="50"/>
        <v>441000</v>
      </c>
    </row>
    <row r="115" spans="1:5" ht="18" customHeight="1" x14ac:dyDescent="0.3">
      <c r="A115" s="584">
        <v>2210800</v>
      </c>
      <c r="B115" s="584" t="s">
        <v>509</v>
      </c>
      <c r="C115" s="578">
        <f>SUM(C116:C118)</f>
        <v>3100000</v>
      </c>
      <c r="D115" s="578">
        <f t="shared" ref="D115:E115" si="51">SUM(D116:D118)</f>
        <v>3255000</v>
      </c>
      <c r="E115" s="578">
        <f t="shared" si="51"/>
        <v>3417750</v>
      </c>
    </row>
    <row r="116" spans="1:5" ht="18" customHeight="1" x14ac:dyDescent="0.3">
      <c r="A116" s="585">
        <v>2210801</v>
      </c>
      <c r="B116" s="585" t="s">
        <v>510</v>
      </c>
      <c r="C116" s="586">
        <v>1500000</v>
      </c>
      <c r="D116" s="587">
        <f>C116*1.05</f>
        <v>1575000</v>
      </c>
      <c r="E116" s="587">
        <f t="shared" ref="E116:E118" si="52">D116*1.05</f>
        <v>1653750</v>
      </c>
    </row>
    <row r="117" spans="1:5" ht="18" customHeight="1" x14ac:dyDescent="0.3">
      <c r="A117" s="585">
        <v>2210802</v>
      </c>
      <c r="B117" s="585" t="s">
        <v>741</v>
      </c>
      <c r="C117" s="586">
        <v>1000000</v>
      </c>
      <c r="D117" s="587">
        <f>C117*1.05</f>
        <v>1050000</v>
      </c>
      <c r="E117" s="587">
        <f t="shared" si="52"/>
        <v>1102500</v>
      </c>
    </row>
    <row r="118" spans="1:5" ht="18" customHeight="1" x14ac:dyDescent="0.3">
      <c r="A118" s="585">
        <v>2210805</v>
      </c>
      <c r="B118" s="585" t="s">
        <v>165</v>
      </c>
      <c r="C118" s="579">
        <v>600000</v>
      </c>
      <c r="D118" s="587">
        <f>C118*1.05</f>
        <v>630000</v>
      </c>
      <c r="E118" s="587">
        <f t="shared" si="52"/>
        <v>661500</v>
      </c>
    </row>
    <row r="119" spans="1:5" ht="18" customHeight="1" x14ac:dyDescent="0.3">
      <c r="A119" s="584">
        <v>2211000</v>
      </c>
      <c r="B119" s="584" t="s">
        <v>511</v>
      </c>
      <c r="C119" s="578">
        <f>SUM(C120:C121)</f>
        <v>0</v>
      </c>
      <c r="D119" s="578">
        <f t="shared" ref="D119:E119" si="53">SUM(D120:D121)</f>
        <v>0</v>
      </c>
      <c r="E119" s="578">
        <f t="shared" si="53"/>
        <v>0</v>
      </c>
    </row>
    <row r="120" spans="1:5" ht="18" customHeight="1" x14ac:dyDescent="0.3">
      <c r="A120" s="585">
        <v>2211009</v>
      </c>
      <c r="B120" s="585" t="s">
        <v>512</v>
      </c>
      <c r="C120" s="586">
        <v>0</v>
      </c>
      <c r="D120" s="587">
        <f>C120*1.05</f>
        <v>0</v>
      </c>
      <c r="E120" s="587">
        <f t="shared" ref="E120:E121" si="54">D120*1.05</f>
        <v>0</v>
      </c>
    </row>
    <row r="121" spans="1:5" ht="18" customHeight="1" x14ac:dyDescent="0.3">
      <c r="A121" s="585">
        <v>2211016</v>
      </c>
      <c r="B121" s="585" t="s">
        <v>513</v>
      </c>
      <c r="C121" s="588">
        <v>0</v>
      </c>
      <c r="D121" s="587">
        <f>C121*1.05</f>
        <v>0</v>
      </c>
      <c r="E121" s="587">
        <f t="shared" si="54"/>
        <v>0</v>
      </c>
    </row>
    <row r="122" spans="1:5" ht="27.75" customHeight="1" x14ac:dyDescent="0.3">
      <c r="A122" s="584">
        <v>2211100</v>
      </c>
      <c r="B122" s="584" t="s">
        <v>514</v>
      </c>
      <c r="C122" s="578">
        <f>SUM(C123:C124)</f>
        <v>800000</v>
      </c>
      <c r="D122" s="578">
        <f t="shared" ref="D122:E122" si="55">SUM(D123:D124)</f>
        <v>840000</v>
      </c>
      <c r="E122" s="578">
        <f t="shared" si="55"/>
        <v>882000</v>
      </c>
    </row>
    <row r="123" spans="1:5" ht="18" customHeight="1" x14ac:dyDescent="0.3">
      <c r="A123" s="585">
        <v>2211101</v>
      </c>
      <c r="B123" s="585" t="s">
        <v>515</v>
      </c>
      <c r="C123" s="586">
        <v>500000</v>
      </c>
      <c r="D123" s="587">
        <f>C123*1.05</f>
        <v>525000</v>
      </c>
      <c r="E123" s="587">
        <f t="shared" ref="E123:E124" si="56">D123*1.05</f>
        <v>551250</v>
      </c>
    </row>
    <row r="124" spans="1:5" ht="18" customHeight="1" x14ac:dyDescent="0.3">
      <c r="A124" s="585">
        <v>2211103</v>
      </c>
      <c r="B124" s="585" t="s">
        <v>400</v>
      </c>
      <c r="C124" s="586">
        <v>300000</v>
      </c>
      <c r="D124" s="587">
        <f>C124*1.05</f>
        <v>315000</v>
      </c>
      <c r="E124" s="587">
        <f t="shared" si="56"/>
        <v>330750</v>
      </c>
    </row>
    <row r="125" spans="1:5" ht="18" customHeight="1" x14ac:dyDescent="0.3">
      <c r="A125" s="584">
        <v>2211200</v>
      </c>
      <c r="B125" s="584" t="s">
        <v>516</v>
      </c>
      <c r="C125" s="578">
        <f>C126</f>
        <v>800000</v>
      </c>
      <c r="D125" s="578">
        <f t="shared" ref="D125:E125" si="57">D126</f>
        <v>840000</v>
      </c>
      <c r="E125" s="578">
        <f t="shared" si="57"/>
        <v>882000</v>
      </c>
    </row>
    <row r="126" spans="1:5" ht="18" customHeight="1" x14ac:dyDescent="0.3">
      <c r="A126" s="585">
        <v>2211201</v>
      </c>
      <c r="B126" s="585" t="s">
        <v>517</v>
      </c>
      <c r="C126" s="586">
        <v>800000</v>
      </c>
      <c r="D126" s="587">
        <f>C126*1.05</f>
        <v>840000</v>
      </c>
      <c r="E126" s="587">
        <f t="shared" ref="E126" si="58">D126*1.05</f>
        <v>882000</v>
      </c>
    </row>
    <row r="127" spans="1:5" ht="18" customHeight="1" x14ac:dyDescent="0.3">
      <c r="A127" s="584">
        <v>2211300</v>
      </c>
      <c r="B127" s="584" t="s">
        <v>518</v>
      </c>
      <c r="C127" s="578">
        <f>SUM(C128:C131)</f>
        <v>1450000</v>
      </c>
      <c r="D127" s="578">
        <f t="shared" ref="D127:E127" si="59">SUM(D128:D131)</f>
        <v>1522500</v>
      </c>
      <c r="E127" s="578">
        <f t="shared" si="59"/>
        <v>1598625</v>
      </c>
    </row>
    <row r="128" spans="1:5" ht="30.75" customHeight="1" x14ac:dyDescent="0.3">
      <c r="A128" s="585">
        <v>2211306</v>
      </c>
      <c r="B128" s="585" t="s">
        <v>519</v>
      </c>
      <c r="C128" s="586">
        <v>50000</v>
      </c>
      <c r="D128" s="587">
        <f>C128*1.05</f>
        <v>52500</v>
      </c>
      <c r="E128" s="587">
        <f t="shared" ref="E128:E131" si="60">D128*1.05</f>
        <v>55125</v>
      </c>
    </row>
    <row r="129" spans="1:5" ht="18" customHeight="1" x14ac:dyDescent="0.3">
      <c r="A129" s="585">
        <v>2210904</v>
      </c>
      <c r="B129" s="585" t="s">
        <v>520</v>
      </c>
      <c r="C129" s="586">
        <v>0</v>
      </c>
      <c r="D129" s="587">
        <f>C129*1.05</f>
        <v>0</v>
      </c>
      <c r="E129" s="587">
        <f t="shared" si="60"/>
        <v>0</v>
      </c>
    </row>
    <row r="130" spans="1:5" ht="18" customHeight="1" x14ac:dyDescent="0.3">
      <c r="A130" s="585">
        <v>2211310</v>
      </c>
      <c r="B130" s="585" t="s">
        <v>521</v>
      </c>
      <c r="C130" s="586">
        <v>0</v>
      </c>
      <c r="D130" s="587">
        <f>C130*1.05</f>
        <v>0</v>
      </c>
      <c r="E130" s="587">
        <f t="shared" si="60"/>
        <v>0</v>
      </c>
    </row>
    <row r="131" spans="1:5" ht="18" customHeight="1" x14ac:dyDescent="0.3">
      <c r="A131" s="585">
        <v>2210320</v>
      </c>
      <c r="B131" s="585" t="s">
        <v>522</v>
      </c>
      <c r="C131" s="586">
        <v>1400000</v>
      </c>
      <c r="D131" s="587">
        <f>C131*1.05</f>
        <v>1470000</v>
      </c>
      <c r="E131" s="587">
        <f t="shared" si="60"/>
        <v>1543500</v>
      </c>
    </row>
    <row r="132" spans="1:5" ht="35.25" customHeight="1" x14ac:dyDescent="0.3">
      <c r="A132" s="584">
        <v>2220100</v>
      </c>
      <c r="B132" s="584" t="s">
        <v>523</v>
      </c>
      <c r="C132" s="578">
        <f>SUM(C133)</f>
        <v>200000</v>
      </c>
      <c r="D132" s="578">
        <f t="shared" ref="D132:E132" si="61">SUM(D133)</f>
        <v>210000</v>
      </c>
      <c r="E132" s="578">
        <f t="shared" si="61"/>
        <v>220500</v>
      </c>
    </row>
    <row r="133" spans="1:5" ht="26.25" customHeight="1" x14ac:dyDescent="0.3">
      <c r="A133" s="585">
        <v>2220101</v>
      </c>
      <c r="B133" s="585" t="s">
        <v>524</v>
      </c>
      <c r="C133" s="586">
        <v>200000</v>
      </c>
      <c r="D133" s="587">
        <f>C133*1.05</f>
        <v>210000</v>
      </c>
      <c r="E133" s="587">
        <f t="shared" ref="E133" si="62">D133*1.05</f>
        <v>220500</v>
      </c>
    </row>
    <row r="134" spans="1:5" ht="18" customHeight="1" x14ac:dyDescent="0.3">
      <c r="A134" s="584">
        <v>3111000</v>
      </c>
      <c r="B134" s="584" t="s">
        <v>1012</v>
      </c>
      <c r="C134" s="578">
        <f>C135+C136</f>
        <v>400000</v>
      </c>
      <c r="D134" s="578">
        <f t="shared" ref="D134:E134" si="63">D135+D136</f>
        <v>420000</v>
      </c>
      <c r="E134" s="578">
        <f t="shared" si="63"/>
        <v>441000</v>
      </c>
    </row>
    <row r="135" spans="1:5" ht="18" customHeight="1" x14ac:dyDescent="0.3">
      <c r="A135" s="585">
        <v>3111001</v>
      </c>
      <c r="B135" s="585" t="s">
        <v>1013</v>
      </c>
      <c r="C135" s="586">
        <v>200000</v>
      </c>
      <c r="D135" s="586">
        <f>C135*1.05</f>
        <v>210000</v>
      </c>
      <c r="E135" s="586">
        <f>D135*1.05</f>
        <v>220500</v>
      </c>
    </row>
    <row r="136" spans="1:5" ht="26.25" customHeight="1" x14ac:dyDescent="0.3">
      <c r="A136" s="585">
        <v>3111002</v>
      </c>
      <c r="B136" s="585" t="s">
        <v>1014</v>
      </c>
      <c r="C136" s="586">
        <v>200000</v>
      </c>
      <c r="D136" s="578">
        <f>C136*1.05</f>
        <v>210000</v>
      </c>
      <c r="E136" s="578">
        <f>D136*1.05</f>
        <v>220500</v>
      </c>
    </row>
    <row r="137" spans="1:5" ht="18" customHeight="1" x14ac:dyDescent="0.3">
      <c r="A137" s="585">
        <v>3111401</v>
      </c>
      <c r="B137" s="585" t="s">
        <v>86</v>
      </c>
      <c r="C137" s="586">
        <v>0</v>
      </c>
      <c r="D137" s="587">
        <f>C137*1.05</f>
        <v>0</v>
      </c>
      <c r="E137" s="587">
        <f t="shared" ref="E137:E138" si="64">D137*1.05</f>
        <v>0</v>
      </c>
    </row>
    <row r="138" spans="1:5" ht="18" customHeight="1" x14ac:dyDescent="0.3">
      <c r="A138" s="585">
        <v>3111401</v>
      </c>
      <c r="B138" s="585" t="s">
        <v>525</v>
      </c>
      <c r="C138" s="586">
        <f>500000-500000</f>
        <v>0</v>
      </c>
      <c r="D138" s="587">
        <f>C138*1.05</f>
        <v>0</v>
      </c>
      <c r="E138" s="587">
        <f t="shared" si="64"/>
        <v>0</v>
      </c>
    </row>
    <row r="139" spans="1:5" ht="18" customHeight="1" x14ac:dyDescent="0.3">
      <c r="A139" s="584"/>
      <c r="B139" s="584" t="s">
        <v>156</v>
      </c>
      <c r="C139" s="578">
        <f>C134+C132+C127+C125+C122+C119+C115+C112+C109+C105+C102+C96+C92+C89+C87+C85+C83</f>
        <v>23096013</v>
      </c>
      <c r="D139" s="578">
        <f>D134+D132+D127+D125+D122+D119+D115+D112+D109+D105+D102+D96+D92+D89+D87+D85+D83</f>
        <v>24250813.649999999</v>
      </c>
      <c r="E139" s="578">
        <f>E134+E132+E127+E125+E122+E119+E115+E112+E109+E105+E102+E96+E92+E89+E87+E85+E83</f>
        <v>25463354.3325</v>
      </c>
    </row>
    <row r="140" spans="1:5" ht="18" customHeight="1" x14ac:dyDescent="0.3">
      <c r="A140" s="585"/>
      <c r="B140" s="584" t="s">
        <v>742</v>
      </c>
      <c r="C140" s="119">
        <f>C69+C139</f>
        <v>91030796</v>
      </c>
      <c r="D140" s="586">
        <f>C140*1.05</f>
        <v>95582335.799999997</v>
      </c>
      <c r="E140" s="586">
        <f t="shared" ref="E140" si="65">D140*1.05</f>
        <v>100361452.59</v>
      </c>
    </row>
    <row r="141" spans="1:5" ht="18" customHeight="1" x14ac:dyDescent="0.3">
      <c r="A141" s="585"/>
      <c r="B141" s="585"/>
      <c r="C141" s="586">
        <v>0</v>
      </c>
      <c r="D141" s="587">
        <f>C141*1.05</f>
        <v>0</v>
      </c>
      <c r="E141" s="587"/>
    </row>
    <row r="142" spans="1:5" ht="18" customHeight="1" x14ac:dyDescent="0.3">
      <c r="A142" s="584"/>
      <c r="B142" s="584" t="s">
        <v>385</v>
      </c>
      <c r="C142" s="586">
        <v>0</v>
      </c>
      <c r="D142" s="587">
        <f>C142*1.05</f>
        <v>0</v>
      </c>
      <c r="E142" s="587"/>
    </row>
    <row r="143" spans="1:5" ht="18" customHeight="1" x14ac:dyDescent="0.3">
      <c r="A143" s="585">
        <v>3110599</v>
      </c>
      <c r="B143" s="585" t="s">
        <v>526</v>
      </c>
      <c r="C143" s="579">
        <v>0</v>
      </c>
      <c r="D143" s="587"/>
      <c r="E143" s="587"/>
    </row>
    <row r="144" spans="1:5" ht="18" customHeight="1" x14ac:dyDescent="0.3">
      <c r="A144" s="585">
        <v>2410104</v>
      </c>
      <c r="B144" s="585" t="s">
        <v>472</v>
      </c>
      <c r="C144" s="579">
        <v>0</v>
      </c>
      <c r="D144" s="587"/>
      <c r="E144" s="587"/>
    </row>
    <row r="145" spans="1:5" ht="18" customHeight="1" x14ac:dyDescent="0.3">
      <c r="A145" s="585">
        <v>3110604</v>
      </c>
      <c r="B145" s="585" t="s">
        <v>526</v>
      </c>
      <c r="C145" s="747">
        <f>8000000-569319.35+18000000</f>
        <v>25430680.649999999</v>
      </c>
      <c r="D145" s="587">
        <f>C145*1.05</f>
        <v>26702214.682500001</v>
      </c>
      <c r="E145" s="587">
        <f>D145*1.05</f>
        <v>28037325.416625001</v>
      </c>
    </row>
    <row r="146" spans="1:5" ht="18" customHeight="1" x14ac:dyDescent="0.3">
      <c r="A146" s="585">
        <v>3111504</v>
      </c>
      <c r="B146" s="585" t="s">
        <v>526</v>
      </c>
      <c r="C146" s="579">
        <v>3386387</v>
      </c>
      <c r="D146" s="587">
        <f t="shared" ref="D146:E151" si="66">C146*1.05</f>
        <v>3555706.35</v>
      </c>
      <c r="E146" s="587">
        <f t="shared" si="66"/>
        <v>3733491.6675000004</v>
      </c>
    </row>
    <row r="147" spans="1:5" ht="18" customHeight="1" x14ac:dyDescent="0.3">
      <c r="A147" s="585"/>
      <c r="B147" s="584" t="s">
        <v>743</v>
      </c>
      <c r="C147" s="579"/>
      <c r="D147" s="587">
        <f t="shared" si="66"/>
        <v>0</v>
      </c>
      <c r="E147" s="587">
        <f t="shared" si="66"/>
        <v>0</v>
      </c>
    </row>
    <row r="148" spans="1:5" ht="18" customHeight="1" x14ac:dyDescent="0.3">
      <c r="A148" s="585"/>
      <c r="B148" s="584" t="s">
        <v>739</v>
      </c>
      <c r="C148" s="579"/>
      <c r="D148" s="587">
        <f t="shared" si="66"/>
        <v>0</v>
      </c>
      <c r="E148" s="587">
        <f t="shared" si="66"/>
        <v>0</v>
      </c>
    </row>
    <row r="149" spans="1:5" ht="18" customHeight="1" x14ac:dyDescent="0.3">
      <c r="A149" s="585">
        <v>2420203</v>
      </c>
      <c r="B149" s="585" t="s">
        <v>737</v>
      </c>
      <c r="C149" s="579">
        <v>10000000</v>
      </c>
      <c r="D149" s="587">
        <f t="shared" si="66"/>
        <v>10500000</v>
      </c>
      <c r="E149" s="587">
        <f t="shared" si="66"/>
        <v>11025000</v>
      </c>
    </row>
    <row r="150" spans="1:5" ht="18" customHeight="1" x14ac:dyDescent="0.3">
      <c r="A150" s="585">
        <v>2210802</v>
      </c>
      <c r="B150" s="585" t="s">
        <v>744</v>
      </c>
      <c r="C150" s="579">
        <v>0</v>
      </c>
      <c r="D150" s="587">
        <f t="shared" si="66"/>
        <v>0</v>
      </c>
      <c r="E150" s="587">
        <f t="shared" si="66"/>
        <v>0</v>
      </c>
    </row>
    <row r="151" spans="1:5" ht="18" customHeight="1" x14ac:dyDescent="0.3">
      <c r="A151" s="585"/>
      <c r="B151" s="584" t="s">
        <v>745</v>
      </c>
      <c r="C151" s="577">
        <f>C145+C146+C149+C150</f>
        <v>38817067.649999999</v>
      </c>
      <c r="D151" s="589">
        <f t="shared" si="66"/>
        <v>40757921.032499999</v>
      </c>
      <c r="E151" s="589">
        <f t="shared" si="66"/>
        <v>42795817.084124997</v>
      </c>
    </row>
    <row r="152" spans="1:5" ht="16.25" x14ac:dyDescent="0.35">
      <c r="B152" s="705" t="s">
        <v>1277</v>
      </c>
      <c r="C152" s="724">
        <f>C151+C139</f>
        <v>61913080.649999999</v>
      </c>
      <c r="D152" s="724">
        <f t="shared" ref="D152:E152" si="67">D151+D139</f>
        <v>65008734.682499997</v>
      </c>
      <c r="E152" s="724">
        <f t="shared" si="67"/>
        <v>68259171.416624993</v>
      </c>
    </row>
    <row r="153" spans="1:5" ht="16.25" x14ac:dyDescent="0.35">
      <c r="B153" s="705" t="s">
        <v>1193</v>
      </c>
      <c r="C153" s="725">
        <f>'Local Rev.'!D42</f>
        <v>3773829.94821333</v>
      </c>
      <c r="D153" s="726">
        <f t="shared" ref="D153" si="68">C153*1.05</f>
        <v>3962521.4456239967</v>
      </c>
      <c r="E153" s="726">
        <f t="shared" ref="E153" si="69">D153*1.05</f>
        <v>4160647.5179051966</v>
      </c>
    </row>
    <row r="154" spans="1:5" ht="18" customHeight="1" x14ac:dyDescent="0.35">
      <c r="B154" s="705" t="s">
        <v>1278</v>
      </c>
      <c r="C154" s="724">
        <f>C152-C153</f>
        <v>58139250.701786667</v>
      </c>
      <c r="D154" s="724">
        <f t="shared" ref="D154:E154" si="70">D152-D153</f>
        <v>61046213.236876003</v>
      </c>
      <c r="E154" s="724">
        <f t="shared" si="70"/>
        <v>64098523.898719795</v>
      </c>
    </row>
    <row r="155" spans="1:5" ht="18" customHeight="1" x14ac:dyDescent="0.3">
      <c r="C155" s="61"/>
    </row>
  </sheetData>
  <protectedRanges>
    <protectedRange password="C43E" sqref="A57" name="Range1_27_2_1_1_1"/>
    <protectedRange password="C43E" sqref="C60" name="Range1_29_2_1_1_1"/>
    <protectedRange password="C43E" sqref="C67" name="Range1_37_1_1_1_1"/>
    <protectedRange password="C43E" sqref="A73:C76" name="Range1_73_1_1_1_1"/>
    <protectedRange password="C43E" sqref="C34:E34" name="Range1_69_1_1_1_1"/>
    <protectedRange password="C43E" sqref="C36" name="Range1_80_1_1_1_1"/>
    <protectedRange password="C43E" sqref="C37:C38" name="Range1_81_1_1_1_1"/>
    <protectedRange password="C43E" sqref="C40" name="Range1_82_1_1_1_1"/>
    <protectedRange password="C43E" sqref="C41:C42" name="Range1_83_1_1_1_1"/>
    <protectedRange password="C43E" sqref="C46:E46" name="Range1_88_1_1_1_1"/>
    <protectedRange password="C43E" sqref="C53" name="Range1_93_1_1_1_1"/>
    <protectedRange password="C43E" sqref="C58" name="Range1_98_1_1_1_1"/>
    <protectedRange password="C43E" sqref="C19:C22 C57 C68 A71:C72 C62 C28" name="Range1_99_2_1_1_1"/>
    <protectedRange password="C43E" sqref="C14" name="Range1_5_1_1_1_1_1"/>
    <protectedRange password="C43E" sqref="C15" name="Range1_5_2_1_1_1_1"/>
    <protectedRange password="C43E" sqref="C16" name="Range1_5_3_1_1_1_1"/>
    <protectedRange password="C43E" sqref="C11:C12" name="Range1_4_1_1_1_1"/>
    <protectedRange password="C43E" sqref="C18" name="Range1_6_1_1_1_1"/>
    <protectedRange password="C43E" sqref="C24:E26" name="Range1_7_1_1_1_1_1"/>
    <protectedRange password="C43E" sqref="B30" name="Range1_8_2_1_1_1_1"/>
    <protectedRange password="C43E" sqref="B31" name="Range1_8_3_1_1_1_1"/>
    <protectedRange password="C43E" sqref="B28" name="Range1_8_4_1_1_1_1"/>
    <protectedRange password="C43E" sqref="C44" name="Range1_16_1_1_1_1"/>
    <protectedRange password="C43E" sqref="C47:E47" name="Range1_19_1_1_1_1"/>
    <protectedRange password="C43E" sqref="C49" name="Range1_22_5_1_1_1"/>
    <protectedRange password="C43E" sqref="B49" name="Range1_22_1_1_1_1_1"/>
    <protectedRange password="C43E" sqref="A50:C50" name="Range1_22_2_1_1_1_1"/>
    <protectedRange password="C43E" sqref="C51" name="Range1_22_3_1_1_1_1"/>
    <protectedRange password="C43E" sqref="B51" name="Range1_22_4_1_1_1_1"/>
    <protectedRange password="C43E" sqref="C56" name="Range1_23_1_1_1_1"/>
    <protectedRange password="C43E" sqref="A59:C59" name="Range1_25_1_1_1_1"/>
    <protectedRange password="C43E" sqref="C66" name="Range1_35_1_1_1_1"/>
  </protectedRanges>
  <mergeCells count="2">
    <mergeCell ref="A1:E1"/>
    <mergeCell ref="A81:E81"/>
  </mergeCells>
  <pageMargins left="0.7" right="0.7" top="0.75" bottom="0.75" header="0.3" footer="0.3"/>
  <pageSetup scale="77" orientation="portrait" r:id="rId1"/>
  <colBreaks count="1" manualBreakCount="1">
    <brk id="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A22" zoomScale="120" zoomScaleNormal="120" workbookViewId="0">
      <selection activeCell="B38" sqref="B38"/>
    </sheetView>
  </sheetViews>
  <sheetFormatPr defaultColWidth="8.90625" defaultRowHeight="14" x14ac:dyDescent="0.3"/>
  <cols>
    <col min="1" max="1" width="39" style="130" customWidth="1"/>
    <col min="2" max="2" width="18.08984375" style="203" customWidth="1"/>
    <col min="3" max="3" width="16" style="203" customWidth="1"/>
    <col min="4" max="4" width="18" style="130" customWidth="1"/>
    <col min="5" max="5" width="19.90625" style="203" customWidth="1"/>
    <col min="6" max="6" width="18" style="203" customWidth="1"/>
    <col min="7" max="7" width="18.90625" style="203" customWidth="1"/>
    <col min="8" max="8" width="18.81640625" style="203" customWidth="1"/>
    <col min="9" max="9" width="16.6328125" style="203" customWidth="1"/>
    <col min="10" max="10" width="18.1796875" style="203" customWidth="1"/>
    <col min="11" max="11" width="18.36328125" style="203" customWidth="1"/>
    <col min="12" max="12" width="20.36328125" style="203" customWidth="1"/>
    <col min="13" max="13" width="20.36328125" style="130" customWidth="1"/>
    <col min="14" max="16384" width="8.90625" style="130"/>
  </cols>
  <sheetData>
    <row r="1" spans="1:13" s="122" customFormat="1" ht="13.75" x14ac:dyDescent="0.25">
      <c r="A1" s="197"/>
      <c r="B1" s="208"/>
      <c r="C1" s="208"/>
      <c r="D1" s="197"/>
      <c r="E1" s="821" t="s">
        <v>1060</v>
      </c>
      <c r="F1" s="821"/>
      <c r="G1" s="821"/>
      <c r="H1" s="821"/>
      <c r="I1" s="821"/>
      <c r="J1" s="821"/>
      <c r="K1" s="821"/>
      <c r="L1" s="821"/>
    </row>
    <row r="2" spans="1:13" s="207" customFormat="1" ht="41.4" x14ac:dyDescent="0.25">
      <c r="A2" s="204" t="s">
        <v>1226</v>
      </c>
      <c r="B2" s="209" t="s">
        <v>387</v>
      </c>
      <c r="C2" s="209" t="s">
        <v>1196</v>
      </c>
      <c r="D2" s="204" t="s">
        <v>1195</v>
      </c>
      <c r="E2" s="204" t="s">
        <v>384</v>
      </c>
      <c r="F2" s="204" t="s">
        <v>1197</v>
      </c>
      <c r="G2" s="204" t="s">
        <v>1196</v>
      </c>
      <c r="H2" s="204" t="s">
        <v>1221</v>
      </c>
      <c r="I2" s="204" t="s">
        <v>1228</v>
      </c>
      <c r="J2" s="204" t="s">
        <v>1229</v>
      </c>
      <c r="K2" s="205" t="s">
        <v>385</v>
      </c>
      <c r="L2" s="206" t="s">
        <v>161</v>
      </c>
      <c r="M2" s="206" t="s">
        <v>1231</v>
      </c>
    </row>
    <row r="3" spans="1:13" ht="13.75" x14ac:dyDescent="0.25">
      <c r="A3" s="199" t="s">
        <v>1040</v>
      </c>
      <c r="B3" s="210">
        <f>Agriculture!C5+Agriculture!C7+Agriculture!C164+Agriculture!C284+Agriculture!C286</f>
        <v>333313299.20000029</v>
      </c>
      <c r="C3" s="210"/>
      <c r="D3" s="227">
        <f>E3-C3-B3</f>
        <v>37350244.800000012</v>
      </c>
      <c r="E3" s="200">
        <f>Agriculture!C408</f>
        <v>370663544.0000003</v>
      </c>
      <c r="F3" s="200">
        <f>K3-J3-I3-H3-G3</f>
        <v>133537499.52480006</v>
      </c>
      <c r="G3" s="200">
        <f>37950000+151515152</f>
        <v>189465152</v>
      </c>
      <c r="H3" s="200">
        <v>5000000</v>
      </c>
      <c r="I3" s="200">
        <v>10587729</v>
      </c>
      <c r="J3" s="200">
        <v>326000000</v>
      </c>
      <c r="K3" s="200">
        <f>Agriculture!C409</f>
        <v>664590380.52480006</v>
      </c>
      <c r="L3" s="200">
        <f>E3+K3</f>
        <v>1035253924.5248003</v>
      </c>
      <c r="M3" s="694">
        <v>7712499.9750000006</v>
      </c>
    </row>
    <row r="4" spans="1:13" ht="13.75" x14ac:dyDescent="0.25">
      <c r="A4" s="199" t="s">
        <v>1041</v>
      </c>
      <c r="B4" s="210">
        <f>Education!B4</f>
        <v>1192895524</v>
      </c>
      <c r="C4" s="210"/>
      <c r="D4" s="227">
        <f t="shared" ref="D4:D32" si="0">E4-C4-B4</f>
        <v>60257094</v>
      </c>
      <c r="E4" s="200">
        <f>Education!B59+Education!B111</f>
        <v>1253152618</v>
      </c>
      <c r="F4" s="200">
        <f t="shared" ref="F4:F32" si="1">K4-J4-I4-H4-G4</f>
        <v>42902000</v>
      </c>
      <c r="G4" s="200"/>
      <c r="H4" s="200"/>
      <c r="I4" s="200"/>
      <c r="J4" s="200">
        <v>135000000</v>
      </c>
      <c r="K4" s="200">
        <f>Education!B73+Education!B121</f>
        <v>177902000</v>
      </c>
      <c r="L4" s="200">
        <f>E4+K4</f>
        <v>1431054618</v>
      </c>
      <c r="M4" s="694">
        <v>2258000</v>
      </c>
    </row>
    <row r="5" spans="1:13" ht="13.75" x14ac:dyDescent="0.25">
      <c r="A5" s="199" t="s">
        <v>1042</v>
      </c>
      <c r="B5" s="210">
        <f>Health!C5+Health!C7</f>
        <v>2860806131.7877507</v>
      </c>
      <c r="C5" s="210">
        <f>Health!C10+Health!C11+7400000+107400000</f>
        <v>130015750</v>
      </c>
      <c r="D5" s="227">
        <f t="shared" si="0"/>
        <v>104574141.53999996</v>
      </c>
      <c r="E5" s="200">
        <f>Health!C84</f>
        <v>3095396023.3277507</v>
      </c>
      <c r="F5" s="200">
        <f t="shared" si="1"/>
        <v>73720159.150000006</v>
      </c>
      <c r="G5" s="200"/>
      <c r="H5" s="200"/>
      <c r="I5" s="200"/>
      <c r="J5" s="200"/>
      <c r="K5" s="200">
        <f>Health!C93</f>
        <v>73720159.150000006</v>
      </c>
      <c r="L5" s="200">
        <f t="shared" ref="L5:L32" si="2">E5+K5</f>
        <v>3169116182.4777508</v>
      </c>
      <c r="M5" s="694">
        <v>3195797.85</v>
      </c>
    </row>
    <row r="6" spans="1:13" ht="13.75" x14ac:dyDescent="0.25">
      <c r="A6" s="199" t="s">
        <v>1043</v>
      </c>
      <c r="B6" s="210"/>
      <c r="C6" s="210">
        <v>105600000</v>
      </c>
      <c r="D6" s="227">
        <f t="shared" si="0"/>
        <v>1063647400.9425831</v>
      </c>
      <c r="E6" s="200">
        <f>Health!C1186+Health!C1282</f>
        <v>1169247400.9425831</v>
      </c>
      <c r="F6" s="200">
        <f t="shared" si="1"/>
        <v>0</v>
      </c>
      <c r="G6" s="200"/>
      <c r="H6" s="200"/>
      <c r="I6" s="200"/>
      <c r="J6" s="200"/>
      <c r="K6" s="200">
        <v>0</v>
      </c>
      <c r="L6" s="200">
        <f t="shared" si="2"/>
        <v>1169247400.9425831</v>
      </c>
      <c r="M6" s="694">
        <v>0</v>
      </c>
    </row>
    <row r="7" spans="1:13" ht="13.75" x14ac:dyDescent="0.25">
      <c r="A7" s="199" t="s">
        <v>310</v>
      </c>
      <c r="B7" s="210"/>
      <c r="C7" s="210"/>
      <c r="D7" s="227">
        <f t="shared" si="0"/>
        <v>1248350.024</v>
      </c>
      <c r="E7" s="200">
        <f>Health!C146</f>
        <v>1248350.024</v>
      </c>
      <c r="F7" s="200">
        <f t="shared" si="1"/>
        <v>8460702.8499999996</v>
      </c>
      <c r="G7" s="200"/>
      <c r="H7" s="200"/>
      <c r="I7" s="200"/>
      <c r="J7" s="200"/>
      <c r="K7" s="200">
        <f>Health!C152</f>
        <v>8460702.8499999996</v>
      </c>
      <c r="L7" s="200">
        <f t="shared" si="2"/>
        <v>9709052.8739999998</v>
      </c>
      <c r="M7" s="694">
        <v>445300.15</v>
      </c>
    </row>
    <row r="8" spans="1:13" ht="13.75" x14ac:dyDescent="0.25">
      <c r="A8" s="199" t="s">
        <v>1044</v>
      </c>
      <c r="B8" s="210">
        <f>Roads!C4</f>
        <v>83840763.003999993</v>
      </c>
      <c r="C8" s="210"/>
      <c r="D8" s="227">
        <f t="shared" si="0"/>
        <v>37519937</v>
      </c>
      <c r="E8" s="200">
        <f>Roads!C51</f>
        <v>121360700.00399999</v>
      </c>
      <c r="F8" s="200">
        <f t="shared" si="1"/>
        <v>384500000</v>
      </c>
      <c r="G8" s="200">
        <v>184554999</v>
      </c>
      <c r="H8" s="200">
        <v>0</v>
      </c>
      <c r="I8" s="200">
        <v>38490894</v>
      </c>
      <c r="J8" s="200"/>
      <c r="K8" s="200">
        <f>Roads!C66</f>
        <v>607545893</v>
      </c>
      <c r="L8" s="200">
        <f t="shared" si="2"/>
        <v>728906593.00399995</v>
      </c>
      <c r="M8" s="694">
        <v>15500000</v>
      </c>
    </row>
    <row r="9" spans="1:13" ht="13.75" x14ac:dyDescent="0.25">
      <c r="A9" s="199" t="s">
        <v>667</v>
      </c>
      <c r="B9" s="210">
        <f>Trade!C3</f>
        <v>15787088.119999999</v>
      </c>
      <c r="C9" s="210"/>
      <c r="D9" s="227">
        <f t="shared" si="0"/>
        <v>28469235.399999999</v>
      </c>
      <c r="E9" s="200">
        <f>Trade!C71</f>
        <v>44256323.519999996</v>
      </c>
      <c r="F9" s="200">
        <f t="shared" si="1"/>
        <v>47500000.5</v>
      </c>
      <c r="G9" s="200"/>
      <c r="H9" s="200"/>
      <c r="I9" s="200">
        <v>13917050</v>
      </c>
      <c r="J9" s="200"/>
      <c r="K9" s="200">
        <f>Trade!C75+Trade!C79</f>
        <v>61417050.5</v>
      </c>
      <c r="L9" s="200">
        <f t="shared" si="2"/>
        <v>105673374.02</v>
      </c>
      <c r="M9" s="694">
        <v>2500000.0249999999</v>
      </c>
    </row>
    <row r="10" spans="1:13" ht="13.75" x14ac:dyDescent="0.25">
      <c r="A10" s="199" t="s">
        <v>1045</v>
      </c>
      <c r="B10" s="210"/>
      <c r="C10" s="210"/>
      <c r="D10" s="227">
        <f t="shared" si="0"/>
        <v>0</v>
      </c>
      <c r="E10" s="200"/>
      <c r="F10" s="200">
        <f t="shared" si="1"/>
        <v>0</v>
      </c>
      <c r="G10" s="200"/>
      <c r="H10" s="200"/>
      <c r="I10" s="200"/>
      <c r="J10" s="200">
        <v>30000000</v>
      </c>
      <c r="K10" s="200">
        <f>Trade!C74</f>
        <v>30000000</v>
      </c>
      <c r="L10" s="200">
        <f t="shared" si="2"/>
        <v>30000000</v>
      </c>
      <c r="M10" s="694">
        <v>0</v>
      </c>
    </row>
    <row r="11" spans="1:13" ht="13.75" x14ac:dyDescent="0.25">
      <c r="A11" s="199" t="s">
        <v>1046</v>
      </c>
      <c r="B11" s="210">
        <f>Trade!C84</f>
        <v>3533936</v>
      </c>
      <c r="C11" s="210"/>
      <c r="D11" s="227">
        <f t="shared" si="0"/>
        <v>11922106.359999999</v>
      </c>
      <c r="E11" s="200">
        <f>Trade!C153</f>
        <v>15456042.359999999</v>
      </c>
      <c r="F11" s="200">
        <f t="shared" si="1"/>
        <v>15033313.950000003</v>
      </c>
      <c r="G11" s="200">
        <v>45000000</v>
      </c>
      <c r="H11" s="200">
        <v>0</v>
      </c>
      <c r="I11" s="200"/>
      <c r="J11" s="200"/>
      <c r="K11" s="200">
        <f>Trade!C159</f>
        <v>60033313.950000003</v>
      </c>
      <c r="L11" s="200">
        <f t="shared" si="2"/>
        <v>75489356.310000002</v>
      </c>
      <c r="M11" s="694">
        <v>791227.05</v>
      </c>
    </row>
    <row r="12" spans="1:13" ht="13.75" x14ac:dyDescent="0.25">
      <c r="A12" s="199" t="s">
        <v>700</v>
      </c>
      <c r="B12" s="210">
        <f>Trade!C163</f>
        <v>869900</v>
      </c>
      <c r="C12" s="210"/>
      <c r="D12" s="227">
        <f t="shared" si="0"/>
        <v>8536456</v>
      </c>
      <c r="E12" s="200">
        <f>Trade!C231</f>
        <v>9406356</v>
      </c>
      <c r="F12" s="200">
        <f t="shared" si="1"/>
        <v>0</v>
      </c>
      <c r="G12" s="200"/>
      <c r="H12" s="200">
        <v>90000000</v>
      </c>
      <c r="I12" s="200"/>
      <c r="J12" s="200"/>
      <c r="K12" s="200">
        <f>Trade!C238</f>
        <v>90000000</v>
      </c>
      <c r="L12" s="200">
        <f t="shared" si="2"/>
        <v>99406356</v>
      </c>
      <c r="M12" s="694">
        <v>0</v>
      </c>
    </row>
    <row r="13" spans="1:13" ht="13.75" x14ac:dyDescent="0.25">
      <c r="A13" s="199" t="s">
        <v>386</v>
      </c>
      <c r="B13" s="210">
        <f>'Lands &amp;hsing &amp; municipalities'!C4</f>
        <v>27177203</v>
      </c>
      <c r="C13" s="210"/>
      <c r="D13" s="227">
        <f t="shared" si="0"/>
        <v>32726305</v>
      </c>
      <c r="E13" s="200">
        <f>'Lands &amp;hsing &amp; municipalities'!C56</f>
        <v>59903508</v>
      </c>
      <c r="F13" s="200">
        <f t="shared" si="1"/>
        <v>6269230.0250000004</v>
      </c>
      <c r="G13" s="200"/>
      <c r="H13" s="200"/>
      <c r="I13" s="200">
        <v>1220813</v>
      </c>
      <c r="J13" s="200"/>
      <c r="K13" s="200">
        <f>'Lands &amp;hsing &amp; municipalities'!C66</f>
        <v>7490043.0250000004</v>
      </c>
      <c r="L13" s="200">
        <f t="shared" si="2"/>
        <v>67393551.025000006</v>
      </c>
      <c r="M13" s="694">
        <v>329959.47500000003</v>
      </c>
    </row>
    <row r="14" spans="1:13" ht="13.75" x14ac:dyDescent="0.25">
      <c r="A14" s="199" t="s">
        <v>380</v>
      </c>
      <c r="B14" s="210">
        <f>'Lands &amp;hsing &amp; municipalities'!C70</f>
        <v>11414925</v>
      </c>
      <c r="C14" s="210"/>
      <c r="D14" s="227">
        <f t="shared" si="0"/>
        <v>27465662</v>
      </c>
      <c r="E14" s="200">
        <f>'Lands &amp;hsing &amp; municipalities'!C123</f>
        <v>38880587</v>
      </c>
      <c r="F14" s="200">
        <f t="shared" si="1"/>
        <v>119899291</v>
      </c>
      <c r="G14" s="200">
        <v>297400190</v>
      </c>
      <c r="H14" s="200">
        <v>10000000</v>
      </c>
      <c r="I14" s="200"/>
      <c r="J14" s="200"/>
      <c r="K14" s="200">
        <f>'Lands &amp;hsing &amp; municipalities'!C141</f>
        <v>427299481</v>
      </c>
      <c r="L14" s="200">
        <f t="shared" si="2"/>
        <v>466180068</v>
      </c>
      <c r="M14" s="694">
        <v>6310489</v>
      </c>
    </row>
    <row r="15" spans="1:13" ht="13.75" x14ac:dyDescent="0.25">
      <c r="A15" s="199" t="s">
        <v>1047</v>
      </c>
      <c r="B15" s="210">
        <f>'Lands &amp;hsing &amp; municipalities'!C147</f>
        <v>20242043</v>
      </c>
      <c r="C15" s="210"/>
      <c r="D15" s="227">
        <f t="shared" si="0"/>
        <v>65197930</v>
      </c>
      <c r="E15" s="200">
        <f>'Lands &amp;hsing &amp; municipalities'!C239</f>
        <v>85439973</v>
      </c>
      <c r="F15" s="200">
        <f t="shared" si="1"/>
        <v>66500000</v>
      </c>
      <c r="G15" s="200"/>
      <c r="H15" s="200"/>
      <c r="I15" s="200"/>
      <c r="J15" s="200"/>
      <c r="K15" s="200">
        <f>'Lands &amp;hsing &amp; municipalities'!C251</f>
        <v>66500000</v>
      </c>
      <c r="L15" s="200">
        <f t="shared" si="2"/>
        <v>151939973</v>
      </c>
      <c r="M15" s="694">
        <v>3500000</v>
      </c>
    </row>
    <row r="16" spans="1:13" ht="13.75" x14ac:dyDescent="0.25">
      <c r="A16" s="199" t="s">
        <v>1048</v>
      </c>
      <c r="B16" s="210">
        <f>'Lands &amp;hsing &amp; municipalities'!C258</f>
        <v>16317362</v>
      </c>
      <c r="C16" s="210"/>
      <c r="D16" s="227">
        <f t="shared" si="0"/>
        <v>54730855</v>
      </c>
      <c r="E16" s="200">
        <f>'Lands &amp;hsing &amp; municipalities'!C307</f>
        <v>71048217</v>
      </c>
      <c r="F16" s="200">
        <f t="shared" si="1"/>
        <v>36611882</v>
      </c>
      <c r="G16" s="200"/>
      <c r="H16" s="200"/>
      <c r="I16" s="200"/>
      <c r="J16" s="200"/>
      <c r="K16" s="200">
        <f>'Lands &amp;hsing &amp; municipalities'!C322</f>
        <v>36611882</v>
      </c>
      <c r="L16" s="200">
        <f t="shared" si="2"/>
        <v>107660099</v>
      </c>
      <c r="M16" s="694">
        <v>1926941.1500000001</v>
      </c>
    </row>
    <row r="17" spans="1:13" ht="13.75" x14ac:dyDescent="0.25">
      <c r="A17" s="199" t="s">
        <v>1049</v>
      </c>
      <c r="B17" s="210">
        <f>'Tourism &amp; water'!C3</f>
        <v>35083852</v>
      </c>
      <c r="C17" s="210">
        <f>'Tourism &amp; water'!C51</f>
        <v>11000000</v>
      </c>
      <c r="D17" s="227">
        <f t="shared" si="0"/>
        <v>20173077.200000003</v>
      </c>
      <c r="E17" s="200">
        <f>'Tourism &amp; water'!C59</f>
        <v>66256929.200000003</v>
      </c>
      <c r="F17" s="200">
        <f t="shared" si="1"/>
        <v>0</v>
      </c>
      <c r="G17" s="200">
        <f>'Tourism &amp; water'!C65</f>
        <v>153488888</v>
      </c>
      <c r="H17" s="200">
        <v>80000000</v>
      </c>
      <c r="I17" s="200">
        <v>3099777</v>
      </c>
      <c r="J17" s="200">
        <f>28000000*12</f>
        <v>336000000</v>
      </c>
      <c r="K17" s="200">
        <f>'Tourism &amp; water'!C69</f>
        <v>572588665</v>
      </c>
      <c r="L17" s="200">
        <f t="shared" si="2"/>
        <v>638845594.20000005</v>
      </c>
      <c r="M17" s="694">
        <v>0</v>
      </c>
    </row>
    <row r="18" spans="1:13" ht="13.75" x14ac:dyDescent="0.25">
      <c r="A18" s="199" t="s">
        <v>1050</v>
      </c>
      <c r="B18" s="210">
        <f>'Tourism &amp; water'!C72</f>
        <v>43951391</v>
      </c>
      <c r="C18" s="210"/>
      <c r="D18" s="227">
        <f t="shared" si="0"/>
        <v>32306606</v>
      </c>
      <c r="E18" s="200">
        <f>'Tourism &amp; water'!C126</f>
        <v>76257997</v>
      </c>
      <c r="F18" s="200">
        <f t="shared" si="1"/>
        <v>21087637.350000024</v>
      </c>
      <c r="G18" s="200">
        <f>'Tourism &amp; water'!C132</f>
        <v>500000000</v>
      </c>
      <c r="H18" s="200"/>
      <c r="I18" s="200">
        <v>10702052</v>
      </c>
      <c r="J18" s="200"/>
      <c r="K18" s="200">
        <f>'Tourism &amp; water'!C140</f>
        <v>531789689.35000002</v>
      </c>
      <c r="L18" s="200">
        <f t="shared" si="2"/>
        <v>608047686.35000002</v>
      </c>
      <c r="M18" s="694">
        <v>1109875.6500000001</v>
      </c>
    </row>
    <row r="19" spans="1:13" ht="13.75" x14ac:dyDescent="0.25">
      <c r="A19" s="199" t="s">
        <v>381</v>
      </c>
      <c r="B19" s="210">
        <f>Gender!C4</f>
        <v>45499976</v>
      </c>
      <c r="C19" s="210"/>
      <c r="D19" s="227">
        <f t="shared" si="0"/>
        <v>22434807</v>
      </c>
      <c r="E19" s="200">
        <f>Gender!C69</f>
        <v>67934783</v>
      </c>
      <c r="F19" s="200">
        <f t="shared" si="1"/>
        <v>17570008.699999999</v>
      </c>
      <c r="G19" s="200"/>
      <c r="H19" s="200"/>
      <c r="I19" s="200">
        <v>594654</v>
      </c>
      <c r="J19" s="200"/>
      <c r="K19" s="200">
        <f>Gender!C71</f>
        <v>18164662.699999999</v>
      </c>
      <c r="L19" s="200">
        <f t="shared" si="2"/>
        <v>86099445.700000003</v>
      </c>
      <c r="M19" s="694">
        <v>924737.3</v>
      </c>
    </row>
    <row r="20" spans="1:13" ht="13.75" x14ac:dyDescent="0.25">
      <c r="A20" s="199" t="s">
        <v>762</v>
      </c>
      <c r="B20" s="210"/>
      <c r="C20" s="210"/>
      <c r="D20" s="227">
        <f t="shared" si="0"/>
        <v>0</v>
      </c>
      <c r="E20" s="200"/>
      <c r="F20" s="200">
        <f t="shared" si="1"/>
        <v>0</v>
      </c>
      <c r="G20" s="200"/>
      <c r="H20" s="200"/>
      <c r="I20" s="200"/>
      <c r="J20" s="200">
        <v>10000000</v>
      </c>
      <c r="K20" s="200">
        <f>Gender!C75</f>
        <v>10000000</v>
      </c>
      <c r="L20" s="200">
        <f t="shared" si="2"/>
        <v>10000000</v>
      </c>
      <c r="M20" s="694">
        <v>0</v>
      </c>
    </row>
    <row r="21" spans="1:13" ht="13.75" x14ac:dyDescent="0.25">
      <c r="A21" s="199" t="s">
        <v>1051</v>
      </c>
      <c r="B21" s="210"/>
      <c r="C21" s="210"/>
      <c r="D21" s="227">
        <f t="shared" si="0"/>
        <v>0</v>
      </c>
      <c r="E21" s="200"/>
      <c r="F21" s="200">
        <f t="shared" si="1"/>
        <v>0</v>
      </c>
      <c r="G21" s="200"/>
      <c r="H21" s="200"/>
      <c r="I21" s="200"/>
      <c r="J21" s="200">
        <v>10000000</v>
      </c>
      <c r="K21" s="200">
        <f>Gender!C76</f>
        <v>10000000</v>
      </c>
      <c r="L21" s="200">
        <f t="shared" si="2"/>
        <v>10000000</v>
      </c>
      <c r="M21" s="694">
        <v>0</v>
      </c>
    </row>
    <row r="22" spans="1:13" ht="13.75" x14ac:dyDescent="0.25">
      <c r="A22" s="199" t="s">
        <v>1052</v>
      </c>
      <c r="B22" s="210">
        <f>Gender!C83</f>
        <v>12649658</v>
      </c>
      <c r="C22" s="210"/>
      <c r="D22" s="227">
        <f t="shared" si="0"/>
        <v>10446355</v>
      </c>
      <c r="E22" s="200">
        <f>Gender!C139</f>
        <v>23096013</v>
      </c>
      <c r="F22" s="200">
        <f t="shared" si="1"/>
        <v>28817067.649999999</v>
      </c>
      <c r="G22" s="200"/>
      <c r="H22" s="200"/>
      <c r="I22" s="200"/>
      <c r="J22" s="200"/>
      <c r="K22" s="200">
        <f>Gender!C145+Gender!C146</f>
        <v>28817067.649999999</v>
      </c>
      <c r="L22" s="200">
        <f t="shared" si="2"/>
        <v>51913080.649999999</v>
      </c>
      <c r="M22" s="694">
        <v>569319.35</v>
      </c>
    </row>
    <row r="23" spans="1:13" ht="13.75" x14ac:dyDescent="0.25">
      <c r="A23" s="199" t="s">
        <v>764</v>
      </c>
      <c r="B23" s="210"/>
      <c r="C23" s="210"/>
      <c r="D23" s="227">
        <f t="shared" si="0"/>
        <v>0</v>
      </c>
      <c r="E23" s="201"/>
      <c r="F23" s="200">
        <f t="shared" si="1"/>
        <v>0</v>
      </c>
      <c r="G23" s="201"/>
      <c r="H23" s="201"/>
      <c r="I23" s="201"/>
      <c r="J23" s="681">
        <v>10000000</v>
      </c>
      <c r="K23" s="200">
        <f>Gender!C149</f>
        <v>10000000</v>
      </c>
      <c r="L23" s="200">
        <f t="shared" si="2"/>
        <v>10000000</v>
      </c>
      <c r="M23" s="694">
        <v>0</v>
      </c>
    </row>
    <row r="24" spans="1:13" ht="13.75" x14ac:dyDescent="0.25">
      <c r="A24" s="199" t="s">
        <v>1053</v>
      </c>
      <c r="B24" s="210">
        <f>Finance!B4+Finance!B6+Finance!B9+Finance!B12+Finance!B16-C24</f>
        <v>446389549</v>
      </c>
      <c r="C24" s="210">
        <f>Finance!B22+Finance!B23</f>
        <v>350272591</v>
      </c>
      <c r="D24" s="227">
        <f t="shared" si="0"/>
        <v>340997595</v>
      </c>
      <c r="E24" s="200">
        <f>Summary!E24</f>
        <v>1137659735</v>
      </c>
      <c r="F24" s="200">
        <f t="shared" si="1"/>
        <v>54385217.449999988</v>
      </c>
      <c r="G24" s="200"/>
      <c r="H24" s="200"/>
      <c r="I24" s="200">
        <v>1333732</v>
      </c>
      <c r="J24" s="200">
        <v>100000000</v>
      </c>
      <c r="K24" s="200">
        <f>Finance!B454</f>
        <v>155718949.44999999</v>
      </c>
      <c r="L24" s="200">
        <f t="shared" si="2"/>
        <v>1293378684.45</v>
      </c>
      <c r="M24" s="694">
        <v>3062005.5500000003</v>
      </c>
    </row>
    <row r="25" spans="1:13" ht="13.75" x14ac:dyDescent="0.25">
      <c r="A25" s="199" t="s">
        <v>1054</v>
      </c>
      <c r="B25" s="210">
        <f>'Public Admin'!C2</f>
        <v>441754551</v>
      </c>
      <c r="C25" s="210"/>
      <c r="D25" s="227">
        <f t="shared" si="0"/>
        <v>451445180</v>
      </c>
      <c r="E25" s="200">
        <f>'Public Admin'!C81</f>
        <v>893199731</v>
      </c>
      <c r="F25" s="200">
        <f t="shared" si="1"/>
        <v>10607957.449999999</v>
      </c>
      <c r="G25" s="200"/>
      <c r="H25" s="200"/>
      <c r="I25" s="200">
        <v>583135</v>
      </c>
      <c r="J25" s="200"/>
      <c r="K25" s="200">
        <f>'Public Admin'!C98</f>
        <v>11191092.449999999</v>
      </c>
      <c r="L25" s="200">
        <f t="shared" si="2"/>
        <v>904390823.45000005</v>
      </c>
      <c r="M25" s="694">
        <v>558313.55000000005</v>
      </c>
    </row>
    <row r="26" spans="1:13" ht="13.75" x14ac:dyDescent="0.25">
      <c r="A26" s="199" t="s">
        <v>383</v>
      </c>
      <c r="B26" s="210"/>
      <c r="C26" s="210"/>
      <c r="D26" s="227">
        <f t="shared" si="0"/>
        <v>12265905</v>
      </c>
      <c r="E26" s="200">
        <f>'Public Admin'!C90</f>
        <v>12265905</v>
      </c>
      <c r="F26" s="200">
        <f t="shared" si="1"/>
        <v>0</v>
      </c>
      <c r="G26" s="200"/>
      <c r="H26" s="200"/>
      <c r="I26" s="200"/>
      <c r="J26" s="200"/>
      <c r="K26" s="200"/>
      <c r="L26" s="200">
        <f t="shared" si="2"/>
        <v>12265905</v>
      </c>
      <c r="M26" s="694">
        <v>0</v>
      </c>
    </row>
    <row r="27" spans="1:13" ht="13.75" x14ac:dyDescent="0.25">
      <c r="A27" s="199" t="s">
        <v>1055</v>
      </c>
      <c r="B27" s="210"/>
      <c r="C27" s="210">
        <v>37500000</v>
      </c>
      <c r="D27" s="227">
        <f t="shared" si="0"/>
        <v>44400848</v>
      </c>
      <c r="E27" s="200">
        <f>'Public Admin'!C172+'Public Admin'!C176+'Public Admin'!C181+'Public Admin'!C250</f>
        <v>81900848</v>
      </c>
      <c r="F27" s="200">
        <f t="shared" si="1"/>
        <v>0</v>
      </c>
      <c r="G27" s="200"/>
      <c r="H27" s="200"/>
      <c r="I27" s="200"/>
      <c r="J27" s="200"/>
      <c r="K27" s="200"/>
      <c r="L27" s="200">
        <f t="shared" si="2"/>
        <v>81900848</v>
      </c>
      <c r="M27" s="694">
        <v>0</v>
      </c>
    </row>
    <row r="28" spans="1:13" x14ac:dyDescent="0.3">
      <c r="A28" s="199" t="s">
        <v>1056</v>
      </c>
      <c r="B28" s="210">
        <f>Gov.!C2</f>
        <v>288162432</v>
      </c>
      <c r="C28" s="210"/>
      <c r="D28" s="227">
        <f t="shared" si="0"/>
        <v>192206387</v>
      </c>
      <c r="E28" s="200">
        <f>Summary!E28</f>
        <v>480368819</v>
      </c>
      <c r="F28" s="200">
        <f t="shared" si="1"/>
        <v>0</v>
      </c>
      <c r="G28" s="200"/>
      <c r="H28" s="200"/>
      <c r="I28" s="200"/>
      <c r="J28" s="200"/>
      <c r="K28" s="200"/>
      <c r="L28" s="200">
        <f t="shared" si="2"/>
        <v>480368819</v>
      </c>
      <c r="M28" s="694">
        <v>0</v>
      </c>
    </row>
    <row r="29" spans="1:13" x14ac:dyDescent="0.3">
      <c r="A29" s="199" t="s">
        <v>1057</v>
      </c>
      <c r="B29" s="210"/>
      <c r="C29" s="210"/>
      <c r="D29" s="227">
        <f t="shared" si="0"/>
        <v>38642390</v>
      </c>
      <c r="E29" s="200">
        <f>Gov.!C149</f>
        <v>38642390</v>
      </c>
      <c r="F29" s="200">
        <f t="shared" si="1"/>
        <v>0</v>
      </c>
      <c r="G29" s="200"/>
      <c r="H29" s="200"/>
      <c r="I29" s="200"/>
      <c r="J29" s="200"/>
      <c r="K29" s="200"/>
      <c r="L29" s="200">
        <f t="shared" si="2"/>
        <v>38642390</v>
      </c>
      <c r="M29" s="694">
        <v>0</v>
      </c>
    </row>
    <row r="30" spans="1:13" x14ac:dyDescent="0.3">
      <c r="A30" s="199" t="s">
        <v>545</v>
      </c>
      <c r="B30" s="210">
        <f>CPSB!C3</f>
        <v>11712720</v>
      </c>
      <c r="C30" s="210"/>
      <c r="D30" s="227">
        <f t="shared" si="0"/>
        <v>35197404</v>
      </c>
      <c r="E30" s="200">
        <f>CPSB!C53</f>
        <v>46910124</v>
      </c>
      <c r="F30" s="200">
        <f t="shared" si="1"/>
        <v>16018306.4</v>
      </c>
      <c r="G30" s="200"/>
      <c r="H30" s="200"/>
      <c r="I30" s="200"/>
      <c r="J30" s="200"/>
      <c r="K30" s="200">
        <f>CPSB!C57</f>
        <v>16018306.4</v>
      </c>
      <c r="L30" s="200">
        <f t="shared" si="2"/>
        <v>62928430.399999999</v>
      </c>
      <c r="M30" s="694">
        <v>1071651.6000000001</v>
      </c>
    </row>
    <row r="31" spans="1:13" x14ac:dyDescent="0.3">
      <c r="A31" s="199" t="s">
        <v>382</v>
      </c>
      <c r="B31" s="210">
        <f>Assembly!C4+Assembly!C6+Assembly!C10+Assembly!C23+Assembly!C25</f>
        <v>482933500</v>
      </c>
      <c r="C31" s="210"/>
      <c r="D31" s="227">
        <f t="shared" si="0"/>
        <v>590213500</v>
      </c>
      <c r="E31" s="200">
        <f>Summary!E31</f>
        <v>1073147000</v>
      </c>
      <c r="F31" s="200">
        <f t="shared" si="1"/>
        <v>190000000</v>
      </c>
      <c r="G31" s="200"/>
      <c r="H31" s="200"/>
      <c r="I31" s="200"/>
      <c r="J31" s="200"/>
      <c r="K31" s="200">
        <f>Summary!F31</f>
        <v>190000000</v>
      </c>
      <c r="L31" s="200">
        <f t="shared" si="2"/>
        <v>1263147000</v>
      </c>
      <c r="M31" s="694">
        <v>4343073.1000000006</v>
      </c>
    </row>
    <row r="32" spans="1:13" x14ac:dyDescent="0.3">
      <c r="A32" s="199" t="s">
        <v>94</v>
      </c>
      <c r="B32" s="210"/>
      <c r="C32" s="210"/>
      <c r="D32" s="227">
        <f t="shared" si="0"/>
        <v>0</v>
      </c>
      <c r="E32" s="201">
        <v>0</v>
      </c>
      <c r="F32" s="200">
        <f t="shared" si="1"/>
        <v>1025999999.544</v>
      </c>
      <c r="G32" s="201"/>
      <c r="H32" s="201"/>
      <c r="I32" s="201"/>
      <c r="J32" s="201"/>
      <c r="K32" s="675">
        <f>Summary!F32</f>
        <v>1025999999.544</v>
      </c>
      <c r="L32" s="200">
        <f t="shared" si="2"/>
        <v>1025999999.544</v>
      </c>
      <c r="M32" s="694">
        <v>53999999.976000004</v>
      </c>
    </row>
    <row r="33" spans="1:13" s="122" customFormat="1" x14ac:dyDescent="0.3">
      <c r="A33" s="198" t="s">
        <v>1058</v>
      </c>
      <c r="B33" s="211">
        <f>SUM(B3:B32)</f>
        <v>6374335804.1117506</v>
      </c>
      <c r="C33" s="211">
        <f>SUM(C3:C32)</f>
        <v>634388341</v>
      </c>
      <c r="D33" s="211">
        <f t="shared" ref="D33:E33" si="3">SUM(D3:D32)</f>
        <v>3324375772.266583</v>
      </c>
      <c r="E33" s="211">
        <f t="shared" si="3"/>
        <v>10333099917.378334</v>
      </c>
      <c r="F33" s="211">
        <f t="shared" ref="F33" si="4">SUM(F3:F32)</f>
        <v>2299420273.5438004</v>
      </c>
      <c r="G33" s="211">
        <f t="shared" ref="G33:J33" si="5">SUM(G3:G32)</f>
        <v>1369909229</v>
      </c>
      <c r="H33" s="211">
        <f t="shared" si="5"/>
        <v>185000000</v>
      </c>
      <c r="I33" s="211">
        <f t="shared" si="5"/>
        <v>80529836</v>
      </c>
      <c r="J33" s="211">
        <f t="shared" si="5"/>
        <v>957000000</v>
      </c>
      <c r="K33" s="202">
        <f t="shared" ref="K33:L33" si="6">SUM(K3:K32)</f>
        <v>4891859338.5437994</v>
      </c>
      <c r="L33" s="202">
        <f t="shared" si="6"/>
        <v>15224959255.922138</v>
      </c>
      <c r="M33" s="694">
        <v>110109190.751</v>
      </c>
    </row>
    <row r="34" spans="1:13" x14ac:dyDescent="0.3">
      <c r="B34" s="226">
        <f>B33/L33</f>
        <v>0.41867670691021974</v>
      </c>
      <c r="L34" s="203">
        <f>'Resource envelope'!E57</f>
        <v>15224959256.070005</v>
      </c>
    </row>
    <row r="35" spans="1:13" x14ac:dyDescent="0.3">
      <c r="D35" s="190">
        <f>C33+D33</f>
        <v>3958764113.266583</v>
      </c>
      <c r="E35" s="226">
        <f>E33/L33</f>
        <v>0.67869475009327263</v>
      </c>
      <c r="K35" s="226">
        <f>K33/L33</f>
        <v>0.32130524990672704</v>
      </c>
    </row>
    <row r="36" spans="1:13" x14ac:dyDescent="0.3">
      <c r="D36" s="749">
        <f>E35-B34</f>
        <v>0.26001804318305288</v>
      </c>
      <c r="L36" s="203">
        <f>L33-L34</f>
        <v>-0.14786720275878906</v>
      </c>
    </row>
    <row r="38" spans="1:13" x14ac:dyDescent="0.3">
      <c r="L38" s="203" t="e">
        <f>#REF!-#REF!</f>
        <v>#REF!</v>
      </c>
    </row>
    <row r="45" spans="1:13" x14ac:dyDescent="0.3">
      <c r="G45" s="203" t="s">
        <v>1227</v>
      </c>
      <c r="H45" s="682"/>
    </row>
  </sheetData>
  <mergeCells count="1">
    <mergeCell ref="E1:L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3"/>
  <sheetViews>
    <sheetView topLeftCell="A100" zoomScaleNormal="100" workbookViewId="0">
      <selection activeCell="K100" sqref="K100"/>
    </sheetView>
  </sheetViews>
  <sheetFormatPr defaultColWidth="8.90625" defaultRowHeight="15.5" x14ac:dyDescent="0.35"/>
  <cols>
    <col min="1" max="1" width="13.08984375" style="704" customWidth="1"/>
    <col min="2" max="2" width="55.81640625" style="704" customWidth="1"/>
    <col min="3" max="3" width="23" style="704" customWidth="1"/>
    <col min="4" max="4" width="23.36328125" style="704" customWidth="1"/>
    <col min="5" max="5" width="24.1796875" style="704" customWidth="1"/>
    <col min="6" max="16384" width="8.90625" style="704"/>
  </cols>
  <sheetData>
    <row r="1" spans="1:5" ht="46.75" x14ac:dyDescent="0.3">
      <c r="A1" s="590" t="s">
        <v>0</v>
      </c>
      <c r="B1" s="591" t="s">
        <v>1017</v>
      </c>
      <c r="C1" s="703" t="s">
        <v>1018</v>
      </c>
      <c r="D1" s="703" t="s">
        <v>1019</v>
      </c>
      <c r="E1" s="703" t="s">
        <v>1020</v>
      </c>
    </row>
    <row r="2" spans="1:5" ht="15.65" x14ac:dyDescent="0.3">
      <c r="A2" s="64">
        <v>2110100</v>
      </c>
      <c r="B2" s="64" t="s">
        <v>311</v>
      </c>
      <c r="C2" s="593">
        <f>C3+C4</f>
        <v>441754551</v>
      </c>
      <c r="D2" s="594">
        <f t="shared" ref="D2:E65" si="0">(1.05*C2)</f>
        <v>463842278.55000001</v>
      </c>
      <c r="E2" s="594">
        <f t="shared" si="0"/>
        <v>487034392.47750002</v>
      </c>
    </row>
    <row r="3" spans="1:5" ht="15.65" x14ac:dyDescent="0.3">
      <c r="A3" s="170">
        <v>2110101</v>
      </c>
      <c r="B3" s="170" t="s">
        <v>2</v>
      </c>
      <c r="C3" s="595">
        <v>441754551</v>
      </c>
      <c r="D3" s="596">
        <f t="shared" si="0"/>
        <v>463842278.55000001</v>
      </c>
      <c r="E3" s="596">
        <f t="shared" si="0"/>
        <v>487034392.47750002</v>
      </c>
    </row>
    <row r="4" spans="1:5" ht="15.65" x14ac:dyDescent="0.3">
      <c r="A4" s="65" t="s">
        <v>3</v>
      </c>
      <c r="B4" s="65" t="s">
        <v>4</v>
      </c>
      <c r="C4" s="597"/>
      <c r="D4" s="594">
        <f t="shared" si="0"/>
        <v>0</v>
      </c>
      <c r="E4" s="594">
        <f t="shared" si="0"/>
        <v>0</v>
      </c>
    </row>
    <row r="5" spans="1:5" ht="15.65" x14ac:dyDescent="0.3">
      <c r="A5" s="64" t="s">
        <v>5</v>
      </c>
      <c r="B5" s="64" t="s">
        <v>6</v>
      </c>
      <c r="C5" s="598">
        <f>C6</f>
        <v>0</v>
      </c>
      <c r="D5" s="594">
        <f t="shared" si="0"/>
        <v>0</v>
      </c>
      <c r="E5" s="594">
        <f t="shared" si="0"/>
        <v>0</v>
      </c>
    </row>
    <row r="6" spans="1:5" ht="15.65" x14ac:dyDescent="0.3">
      <c r="A6" s="65">
        <v>2110202</v>
      </c>
      <c r="B6" s="65" t="s">
        <v>8</v>
      </c>
      <c r="C6" s="597">
        <v>0</v>
      </c>
      <c r="D6" s="594">
        <f t="shared" si="0"/>
        <v>0</v>
      </c>
      <c r="E6" s="594">
        <f t="shared" si="0"/>
        <v>0</v>
      </c>
    </row>
    <row r="7" spans="1:5" ht="15.65" x14ac:dyDescent="0.3">
      <c r="A7" s="64">
        <v>2210100</v>
      </c>
      <c r="B7" s="599" t="s">
        <v>23</v>
      </c>
      <c r="C7" s="600">
        <f>C8+C9</f>
        <v>150000</v>
      </c>
      <c r="D7" s="594">
        <f t="shared" si="0"/>
        <v>157500</v>
      </c>
      <c r="E7" s="594">
        <f t="shared" si="0"/>
        <v>165375</v>
      </c>
    </row>
    <row r="8" spans="1:5" ht="15.65" x14ac:dyDescent="0.3">
      <c r="A8" s="65">
        <v>2210101</v>
      </c>
      <c r="B8" s="65" t="s">
        <v>24</v>
      </c>
      <c r="C8" s="601">
        <v>100000</v>
      </c>
      <c r="D8" s="602">
        <f t="shared" si="0"/>
        <v>105000</v>
      </c>
      <c r="E8" s="602">
        <f t="shared" si="0"/>
        <v>110250</v>
      </c>
    </row>
    <row r="9" spans="1:5" ht="15.65" x14ac:dyDescent="0.3">
      <c r="A9" s="65">
        <v>2210102</v>
      </c>
      <c r="B9" s="65" t="s">
        <v>25</v>
      </c>
      <c r="C9" s="601">
        <v>50000</v>
      </c>
      <c r="D9" s="602">
        <f t="shared" si="0"/>
        <v>52500</v>
      </c>
      <c r="E9" s="602">
        <f t="shared" si="0"/>
        <v>55125</v>
      </c>
    </row>
    <row r="10" spans="1:5" ht="15.65" x14ac:dyDescent="0.3">
      <c r="A10" s="64">
        <v>2210200</v>
      </c>
      <c r="B10" s="64" t="s">
        <v>26</v>
      </c>
      <c r="C10" s="598">
        <f>C11+C12+C13</f>
        <v>500000</v>
      </c>
      <c r="D10" s="594">
        <f t="shared" si="0"/>
        <v>525000</v>
      </c>
      <c r="E10" s="594">
        <f t="shared" si="0"/>
        <v>551250</v>
      </c>
    </row>
    <row r="11" spans="1:5" ht="15.65" x14ac:dyDescent="0.3">
      <c r="A11" s="170">
        <v>2210201</v>
      </c>
      <c r="B11" s="170" t="s">
        <v>27</v>
      </c>
      <c r="C11" s="601">
        <v>500000</v>
      </c>
      <c r="D11" s="596">
        <f t="shared" si="0"/>
        <v>525000</v>
      </c>
      <c r="E11" s="596">
        <f t="shared" si="0"/>
        <v>551250</v>
      </c>
    </row>
    <row r="12" spans="1:5" ht="15.65" x14ac:dyDescent="0.3">
      <c r="A12" s="170">
        <v>2210202</v>
      </c>
      <c r="B12" s="170" t="s">
        <v>389</v>
      </c>
      <c r="C12" s="603"/>
      <c r="D12" s="604">
        <f t="shared" si="0"/>
        <v>0</v>
      </c>
      <c r="E12" s="604">
        <f t="shared" si="0"/>
        <v>0</v>
      </c>
    </row>
    <row r="13" spans="1:5" ht="15.65" x14ac:dyDescent="0.3">
      <c r="A13" s="170">
        <v>2210203</v>
      </c>
      <c r="B13" s="170" t="s">
        <v>29</v>
      </c>
      <c r="C13" s="597">
        <v>0</v>
      </c>
      <c r="D13" s="604">
        <f t="shared" si="0"/>
        <v>0</v>
      </c>
      <c r="E13" s="604">
        <f t="shared" si="0"/>
        <v>0</v>
      </c>
    </row>
    <row r="14" spans="1:5" ht="15.65" x14ac:dyDescent="0.3">
      <c r="A14" s="64">
        <v>2210300</v>
      </c>
      <c r="B14" s="64" t="s">
        <v>30</v>
      </c>
      <c r="C14" s="598">
        <f>(C15+C16+C17)</f>
        <v>12000000</v>
      </c>
      <c r="D14" s="594">
        <f t="shared" si="0"/>
        <v>12600000</v>
      </c>
      <c r="E14" s="594">
        <f t="shared" si="0"/>
        <v>13230000</v>
      </c>
    </row>
    <row r="15" spans="1:5" ht="15.65" x14ac:dyDescent="0.3">
      <c r="A15" s="65">
        <v>2210301</v>
      </c>
      <c r="B15" s="65" t="s">
        <v>390</v>
      </c>
      <c r="C15" s="601">
        <v>3000000</v>
      </c>
      <c r="D15" s="602">
        <f t="shared" si="0"/>
        <v>3150000</v>
      </c>
      <c r="E15" s="602">
        <f t="shared" si="0"/>
        <v>3307500</v>
      </c>
    </row>
    <row r="16" spans="1:5" ht="15.65" x14ac:dyDescent="0.3">
      <c r="A16" s="65">
        <v>2210302</v>
      </c>
      <c r="B16" s="65" t="s">
        <v>681</v>
      </c>
      <c r="C16" s="601">
        <v>5000000</v>
      </c>
      <c r="D16" s="602">
        <f t="shared" si="0"/>
        <v>5250000</v>
      </c>
      <c r="E16" s="602">
        <f t="shared" si="0"/>
        <v>5512500</v>
      </c>
    </row>
    <row r="17" spans="1:5" ht="15.65" x14ac:dyDescent="0.3">
      <c r="A17" s="65">
        <v>2210303</v>
      </c>
      <c r="B17" s="65" t="s">
        <v>32</v>
      </c>
      <c r="C17" s="601">
        <v>4000000</v>
      </c>
      <c r="D17" s="602">
        <f t="shared" si="0"/>
        <v>4200000</v>
      </c>
      <c r="E17" s="602">
        <f t="shared" si="0"/>
        <v>4410000</v>
      </c>
    </row>
    <row r="18" spans="1:5" ht="15.65" x14ac:dyDescent="0.3">
      <c r="A18" s="64" t="s">
        <v>33</v>
      </c>
      <c r="B18" s="64" t="s">
        <v>682</v>
      </c>
      <c r="C18" s="605">
        <v>10000000</v>
      </c>
      <c r="D18" s="594">
        <f t="shared" si="0"/>
        <v>10500000</v>
      </c>
      <c r="E18" s="594">
        <f t="shared" si="0"/>
        <v>11025000</v>
      </c>
    </row>
    <row r="19" spans="1:5" ht="15.65" x14ac:dyDescent="0.3">
      <c r="A19" s="64" t="s">
        <v>117</v>
      </c>
      <c r="B19" s="64" t="s">
        <v>118</v>
      </c>
      <c r="C19" s="598">
        <f>C24+C23+C22+C21+C20</f>
        <v>1500000</v>
      </c>
      <c r="D19" s="594">
        <f t="shared" si="0"/>
        <v>1575000</v>
      </c>
      <c r="E19" s="594">
        <f t="shared" si="0"/>
        <v>1653750</v>
      </c>
    </row>
    <row r="20" spans="1:5" ht="15.65" x14ac:dyDescent="0.3">
      <c r="A20" s="65" t="s">
        <v>119</v>
      </c>
      <c r="B20" s="582" t="s">
        <v>392</v>
      </c>
      <c r="C20" s="597">
        <v>500000</v>
      </c>
      <c r="D20" s="594">
        <f t="shared" si="0"/>
        <v>525000</v>
      </c>
      <c r="E20" s="594">
        <f t="shared" si="0"/>
        <v>551250</v>
      </c>
    </row>
    <row r="21" spans="1:5" ht="15.65" x14ac:dyDescent="0.3">
      <c r="A21" s="65" t="s">
        <v>197</v>
      </c>
      <c r="B21" s="582" t="s">
        <v>198</v>
      </c>
      <c r="C21" s="597">
        <v>500000</v>
      </c>
      <c r="D21" s="594">
        <f t="shared" si="0"/>
        <v>525000</v>
      </c>
      <c r="E21" s="594">
        <f t="shared" si="0"/>
        <v>551250</v>
      </c>
    </row>
    <row r="22" spans="1:5" ht="15.65" x14ac:dyDescent="0.3">
      <c r="A22" s="65" t="s">
        <v>121</v>
      </c>
      <c r="B22" s="582" t="s">
        <v>115</v>
      </c>
      <c r="C22" s="597">
        <v>300000</v>
      </c>
      <c r="D22" s="594">
        <f t="shared" si="0"/>
        <v>315000</v>
      </c>
      <c r="E22" s="594">
        <f t="shared" si="0"/>
        <v>330750</v>
      </c>
    </row>
    <row r="23" spans="1:5" x14ac:dyDescent="0.35">
      <c r="A23" s="65" t="s">
        <v>393</v>
      </c>
      <c r="B23" s="582" t="s">
        <v>394</v>
      </c>
      <c r="C23" s="597">
        <v>200000</v>
      </c>
      <c r="D23" s="594">
        <f t="shared" si="0"/>
        <v>210000</v>
      </c>
      <c r="E23" s="594">
        <f t="shared" si="0"/>
        <v>220500</v>
      </c>
    </row>
    <row r="24" spans="1:5" ht="15.65" x14ac:dyDescent="0.3">
      <c r="A24" s="65" t="s">
        <v>395</v>
      </c>
      <c r="B24" s="65" t="s">
        <v>396</v>
      </c>
      <c r="C24" s="597">
        <v>0</v>
      </c>
      <c r="D24" s="594">
        <f t="shared" si="0"/>
        <v>0</v>
      </c>
      <c r="E24" s="594">
        <f t="shared" si="0"/>
        <v>0</v>
      </c>
    </row>
    <row r="25" spans="1:5" ht="15.65" x14ac:dyDescent="0.3">
      <c r="A25" s="64">
        <v>2210500</v>
      </c>
      <c r="B25" s="64" t="s">
        <v>38</v>
      </c>
      <c r="C25" s="598">
        <f>C27+C28+C26+C29</f>
        <v>750000</v>
      </c>
      <c r="D25" s="594">
        <f t="shared" si="0"/>
        <v>787500</v>
      </c>
      <c r="E25" s="594">
        <f t="shared" si="0"/>
        <v>826875</v>
      </c>
    </row>
    <row r="26" spans="1:5" ht="15.65" x14ac:dyDescent="0.3">
      <c r="A26" s="65">
        <v>2210502</v>
      </c>
      <c r="B26" s="65" t="s">
        <v>201</v>
      </c>
      <c r="C26" s="597">
        <v>50000</v>
      </c>
      <c r="D26" s="602">
        <f t="shared" si="0"/>
        <v>52500</v>
      </c>
      <c r="E26" s="602">
        <f t="shared" si="0"/>
        <v>55125</v>
      </c>
    </row>
    <row r="27" spans="1:5" ht="15.65" x14ac:dyDescent="0.3">
      <c r="A27" s="65">
        <v>2210503</v>
      </c>
      <c r="B27" s="65" t="s">
        <v>40</v>
      </c>
      <c r="C27" s="601">
        <v>100000</v>
      </c>
      <c r="D27" s="602">
        <f t="shared" si="0"/>
        <v>105000</v>
      </c>
      <c r="E27" s="602">
        <f t="shared" si="0"/>
        <v>110250</v>
      </c>
    </row>
    <row r="28" spans="1:5" ht="15.65" x14ac:dyDescent="0.3">
      <c r="A28" s="65">
        <v>2210504</v>
      </c>
      <c r="B28" s="65" t="s">
        <v>397</v>
      </c>
      <c r="C28" s="601">
        <v>500000</v>
      </c>
      <c r="D28" s="602">
        <f t="shared" si="0"/>
        <v>525000</v>
      </c>
      <c r="E28" s="602">
        <f t="shared" si="0"/>
        <v>551250</v>
      </c>
    </row>
    <row r="29" spans="1:5" ht="15.65" x14ac:dyDescent="0.3">
      <c r="A29" s="60">
        <v>2210505</v>
      </c>
      <c r="B29" s="60" t="s">
        <v>41</v>
      </c>
      <c r="C29" s="606">
        <v>100000</v>
      </c>
      <c r="D29" s="602">
        <f t="shared" si="0"/>
        <v>105000</v>
      </c>
      <c r="E29" s="602">
        <f t="shared" si="0"/>
        <v>110250</v>
      </c>
    </row>
    <row r="30" spans="1:5" ht="15.65" x14ac:dyDescent="0.3">
      <c r="A30" s="463" t="s">
        <v>35</v>
      </c>
      <c r="B30" s="463" t="s">
        <v>683</v>
      </c>
      <c r="C30" s="605">
        <v>8000000</v>
      </c>
      <c r="D30" s="604">
        <f t="shared" si="0"/>
        <v>8400000</v>
      </c>
      <c r="E30" s="604">
        <f t="shared" si="0"/>
        <v>8820000</v>
      </c>
    </row>
    <row r="31" spans="1:5" ht="15.65" x14ac:dyDescent="0.3">
      <c r="A31" s="64">
        <v>2210600</v>
      </c>
      <c r="B31" s="64" t="s">
        <v>42</v>
      </c>
      <c r="C31" s="598">
        <f>C32+C33</f>
        <v>35000000</v>
      </c>
      <c r="D31" s="594">
        <f t="shared" si="0"/>
        <v>36750000</v>
      </c>
      <c r="E31" s="594">
        <f t="shared" si="0"/>
        <v>38587500</v>
      </c>
    </row>
    <row r="32" spans="1:5" ht="15.65" x14ac:dyDescent="0.3">
      <c r="A32" s="65">
        <v>2210603</v>
      </c>
      <c r="B32" s="65" t="s">
        <v>43</v>
      </c>
      <c r="C32" s="679">
        <f>21000000+14000000</f>
        <v>35000000</v>
      </c>
      <c r="D32" s="594">
        <f t="shared" si="0"/>
        <v>36750000</v>
      </c>
      <c r="E32" s="594">
        <f t="shared" si="0"/>
        <v>38587500</v>
      </c>
    </row>
    <row r="33" spans="1:5" ht="15.65" x14ac:dyDescent="0.3">
      <c r="A33" s="65">
        <v>2210604</v>
      </c>
      <c r="B33" s="65" t="s">
        <v>44</v>
      </c>
      <c r="C33" s="597">
        <v>0</v>
      </c>
      <c r="D33" s="594">
        <f t="shared" si="0"/>
        <v>0</v>
      </c>
      <c r="E33" s="594">
        <f t="shared" si="0"/>
        <v>0</v>
      </c>
    </row>
    <row r="34" spans="1:5" ht="15.65" x14ac:dyDescent="0.3">
      <c r="A34" s="64">
        <v>2210700</v>
      </c>
      <c r="B34" s="64" t="s">
        <v>45</v>
      </c>
      <c r="C34" s="598">
        <f>C35+C37+C36</f>
        <v>4600000</v>
      </c>
      <c r="D34" s="594">
        <f t="shared" si="0"/>
        <v>4830000</v>
      </c>
      <c r="E34" s="594">
        <f t="shared" si="0"/>
        <v>5071500</v>
      </c>
    </row>
    <row r="35" spans="1:5" ht="15.65" x14ac:dyDescent="0.3">
      <c r="A35" s="65">
        <v>2210710</v>
      </c>
      <c r="B35" s="65" t="s">
        <v>789</v>
      </c>
      <c r="C35" s="601">
        <v>2000000</v>
      </c>
      <c r="D35" s="602">
        <f t="shared" si="0"/>
        <v>2100000</v>
      </c>
      <c r="E35" s="602">
        <f t="shared" si="0"/>
        <v>2205000</v>
      </c>
    </row>
    <row r="36" spans="1:5" ht="15.65" x14ac:dyDescent="0.3">
      <c r="A36" s="65">
        <v>2210705</v>
      </c>
      <c r="B36" s="26" t="s">
        <v>684</v>
      </c>
      <c r="C36" s="601">
        <v>0</v>
      </c>
      <c r="D36" s="602">
        <f t="shared" si="0"/>
        <v>0</v>
      </c>
      <c r="E36" s="602">
        <f t="shared" si="0"/>
        <v>0</v>
      </c>
    </row>
    <row r="37" spans="1:5" ht="15.65" x14ac:dyDescent="0.3">
      <c r="A37" s="65">
        <v>2210711</v>
      </c>
      <c r="B37" s="65" t="s">
        <v>685</v>
      </c>
      <c r="C37" s="601">
        <v>2600000</v>
      </c>
      <c r="D37" s="602">
        <f t="shared" si="0"/>
        <v>2730000</v>
      </c>
      <c r="E37" s="602">
        <f t="shared" si="0"/>
        <v>2866500</v>
      </c>
    </row>
    <row r="38" spans="1:5" ht="15.65" x14ac:dyDescent="0.3">
      <c r="A38" s="64">
        <v>2210800</v>
      </c>
      <c r="B38" s="64" t="s">
        <v>48</v>
      </c>
      <c r="C38" s="598">
        <f>C39+C40</f>
        <v>11500000</v>
      </c>
      <c r="D38" s="594">
        <f t="shared" si="0"/>
        <v>12075000</v>
      </c>
      <c r="E38" s="594">
        <f t="shared" si="0"/>
        <v>12678750</v>
      </c>
    </row>
    <row r="39" spans="1:5" ht="15.65" x14ac:dyDescent="0.3">
      <c r="A39" s="65">
        <v>2210801</v>
      </c>
      <c r="B39" s="65" t="s">
        <v>686</v>
      </c>
      <c r="C39" s="601">
        <v>5000000</v>
      </c>
      <c r="D39" s="602">
        <f t="shared" si="0"/>
        <v>5250000</v>
      </c>
      <c r="E39" s="602">
        <f t="shared" si="0"/>
        <v>5512500</v>
      </c>
    </row>
    <row r="40" spans="1:5" ht="15.65" x14ac:dyDescent="0.3">
      <c r="A40" s="65">
        <v>2210802</v>
      </c>
      <c r="B40" s="65" t="s">
        <v>687</v>
      </c>
      <c r="C40" s="601">
        <v>6500000</v>
      </c>
      <c r="D40" s="602">
        <f t="shared" si="0"/>
        <v>6825000</v>
      </c>
      <c r="E40" s="602">
        <f t="shared" si="0"/>
        <v>7166250</v>
      </c>
    </row>
    <row r="41" spans="1:5" ht="15.65" x14ac:dyDescent="0.3">
      <c r="A41" s="64">
        <v>2211000</v>
      </c>
      <c r="B41" s="64" t="s">
        <v>51</v>
      </c>
      <c r="C41" s="598">
        <f>C42+C43</f>
        <v>2000000</v>
      </c>
      <c r="D41" s="594">
        <f t="shared" si="0"/>
        <v>2100000</v>
      </c>
      <c r="E41" s="594">
        <f t="shared" si="0"/>
        <v>2205000</v>
      </c>
    </row>
    <row r="42" spans="1:5" ht="15.65" x14ac:dyDescent="0.3">
      <c r="A42" s="65">
        <v>2211009</v>
      </c>
      <c r="B42" s="65" t="s">
        <v>52</v>
      </c>
      <c r="C42" s="597">
        <v>0</v>
      </c>
      <c r="D42" s="602">
        <f t="shared" si="0"/>
        <v>0</v>
      </c>
      <c r="E42" s="602">
        <f t="shared" si="0"/>
        <v>0</v>
      </c>
    </row>
    <row r="43" spans="1:5" ht="15.65" x14ac:dyDescent="0.3">
      <c r="A43" s="170">
        <v>2211016</v>
      </c>
      <c r="B43" s="170" t="s">
        <v>55</v>
      </c>
      <c r="C43" s="601">
        <v>2000000</v>
      </c>
      <c r="D43" s="596">
        <f t="shared" si="0"/>
        <v>2100000</v>
      </c>
      <c r="E43" s="596">
        <f t="shared" si="0"/>
        <v>2205000</v>
      </c>
    </row>
    <row r="44" spans="1:5" ht="15.65" x14ac:dyDescent="0.3">
      <c r="A44" s="463">
        <v>2211100</v>
      </c>
      <c r="B44" s="463" t="s">
        <v>56</v>
      </c>
      <c r="C44" s="598">
        <f>C45+C46</f>
        <v>700000</v>
      </c>
      <c r="D44" s="604">
        <f t="shared" si="0"/>
        <v>735000</v>
      </c>
      <c r="E44" s="604">
        <f t="shared" si="0"/>
        <v>771750</v>
      </c>
    </row>
    <row r="45" spans="1:5" ht="15.65" x14ac:dyDescent="0.3">
      <c r="A45" s="170">
        <v>2211101</v>
      </c>
      <c r="B45" s="170" t="s">
        <v>399</v>
      </c>
      <c r="C45" s="601">
        <v>500000</v>
      </c>
      <c r="D45" s="596">
        <f t="shared" si="0"/>
        <v>525000</v>
      </c>
      <c r="E45" s="596">
        <f t="shared" si="0"/>
        <v>551250</v>
      </c>
    </row>
    <row r="46" spans="1:5" ht="15.65" x14ac:dyDescent="0.3">
      <c r="A46" s="170">
        <v>2211103</v>
      </c>
      <c r="B46" s="170" t="s">
        <v>400</v>
      </c>
      <c r="C46" s="601">
        <v>200000</v>
      </c>
      <c r="D46" s="596">
        <f t="shared" si="0"/>
        <v>210000</v>
      </c>
      <c r="E46" s="596">
        <f t="shared" si="0"/>
        <v>220500</v>
      </c>
    </row>
    <row r="47" spans="1:5" ht="15.65" x14ac:dyDescent="0.3">
      <c r="A47" s="463">
        <v>2211200</v>
      </c>
      <c r="B47" s="463" t="s">
        <v>60</v>
      </c>
      <c r="C47" s="598">
        <f>C48</f>
        <v>4000000</v>
      </c>
      <c r="D47" s="604">
        <f t="shared" si="0"/>
        <v>4200000</v>
      </c>
      <c r="E47" s="604">
        <f t="shared" si="0"/>
        <v>4410000</v>
      </c>
    </row>
    <row r="48" spans="1:5" ht="15.65" x14ac:dyDescent="0.3">
      <c r="A48" s="170">
        <v>2211201</v>
      </c>
      <c r="B48" s="170" t="s">
        <v>61</v>
      </c>
      <c r="C48" s="601">
        <v>4000000</v>
      </c>
      <c r="D48" s="596">
        <f t="shared" si="0"/>
        <v>4200000</v>
      </c>
      <c r="E48" s="596">
        <f t="shared" si="0"/>
        <v>4410000</v>
      </c>
    </row>
    <row r="49" spans="1:5" ht="15.65" x14ac:dyDescent="0.3">
      <c r="A49" s="463">
        <v>2211300</v>
      </c>
      <c r="B49" s="463" t="s">
        <v>62</v>
      </c>
      <c r="C49" s="598">
        <f>C50+C51+C52+C53+C54+C56+C57+C58+C59+C55</f>
        <v>319779450</v>
      </c>
      <c r="D49" s="604">
        <f t="shared" si="0"/>
        <v>335768422.5</v>
      </c>
      <c r="E49" s="604">
        <f t="shared" si="0"/>
        <v>352556843.625</v>
      </c>
    </row>
    <row r="50" spans="1:5" ht="15.65" x14ac:dyDescent="0.3">
      <c r="A50" s="607">
        <v>3111106</v>
      </c>
      <c r="B50" s="170" t="s">
        <v>401</v>
      </c>
      <c r="C50" s="603">
        <v>0</v>
      </c>
      <c r="D50" s="596">
        <f t="shared" si="0"/>
        <v>0</v>
      </c>
      <c r="E50" s="596">
        <f t="shared" si="0"/>
        <v>0</v>
      </c>
    </row>
    <row r="51" spans="1:5" ht="15.65" x14ac:dyDescent="0.3">
      <c r="A51" s="170">
        <v>3111305</v>
      </c>
      <c r="B51" s="170" t="s">
        <v>64</v>
      </c>
      <c r="C51" s="595">
        <f>55471680+11707770</f>
        <v>67179450</v>
      </c>
      <c r="D51" s="596">
        <f t="shared" si="0"/>
        <v>70538422.5</v>
      </c>
      <c r="E51" s="596">
        <f t="shared" si="0"/>
        <v>74065343.625</v>
      </c>
    </row>
    <row r="52" spans="1:5" ht="15.65" x14ac:dyDescent="0.3">
      <c r="A52" s="170">
        <v>2211306</v>
      </c>
      <c r="B52" s="170" t="s">
        <v>65</v>
      </c>
      <c r="C52" s="597">
        <v>100000</v>
      </c>
      <c r="D52" s="596">
        <f t="shared" si="0"/>
        <v>105000</v>
      </c>
      <c r="E52" s="596">
        <f t="shared" si="0"/>
        <v>110250</v>
      </c>
    </row>
    <row r="53" spans="1:5" ht="15.65" x14ac:dyDescent="0.3">
      <c r="A53" s="170">
        <v>2210320</v>
      </c>
      <c r="B53" s="170" t="s">
        <v>688</v>
      </c>
      <c r="C53" s="597">
        <v>3000000</v>
      </c>
      <c r="D53" s="596">
        <f t="shared" si="0"/>
        <v>3150000</v>
      </c>
      <c r="E53" s="596">
        <f t="shared" si="0"/>
        <v>3307500</v>
      </c>
    </row>
    <row r="54" spans="1:5" ht="15.65" x14ac:dyDescent="0.3">
      <c r="A54" s="170">
        <v>2210904</v>
      </c>
      <c r="B54" s="170" t="s">
        <v>66</v>
      </c>
      <c r="C54" s="601">
        <v>500000</v>
      </c>
      <c r="D54" s="596">
        <f t="shared" si="0"/>
        <v>525000</v>
      </c>
      <c r="E54" s="596">
        <f t="shared" si="0"/>
        <v>551250</v>
      </c>
    </row>
    <row r="55" spans="1:5" ht="15.65" x14ac:dyDescent="0.3">
      <c r="A55" s="170">
        <v>2210910</v>
      </c>
      <c r="B55" s="170" t="s">
        <v>402</v>
      </c>
      <c r="C55" s="678">
        <f>117515078+131484922</f>
        <v>249000000</v>
      </c>
      <c r="D55" s="596">
        <f t="shared" si="0"/>
        <v>261450000</v>
      </c>
      <c r="E55" s="596">
        <f t="shared" si="0"/>
        <v>274522500</v>
      </c>
    </row>
    <row r="56" spans="1:5" ht="15.65" x14ac:dyDescent="0.3">
      <c r="A56" s="607">
        <v>2410104</v>
      </c>
      <c r="B56" s="170" t="s">
        <v>689</v>
      </c>
      <c r="C56" s="608"/>
      <c r="D56" s="596">
        <f t="shared" si="0"/>
        <v>0</v>
      </c>
      <c r="E56" s="596">
        <f t="shared" si="0"/>
        <v>0</v>
      </c>
    </row>
    <row r="57" spans="1:5" ht="15.65" x14ac:dyDescent="0.3">
      <c r="A57" s="170">
        <v>3110701</v>
      </c>
      <c r="B57" s="170" t="s">
        <v>67</v>
      </c>
      <c r="C57" s="597">
        <v>0</v>
      </c>
      <c r="D57" s="596">
        <f t="shared" si="0"/>
        <v>0</v>
      </c>
      <c r="E57" s="596">
        <f t="shared" si="0"/>
        <v>0</v>
      </c>
    </row>
    <row r="58" spans="1:5" ht="15.65" x14ac:dyDescent="0.3">
      <c r="A58" s="607">
        <v>3110708</v>
      </c>
      <c r="B58" s="170" t="s">
        <v>403</v>
      </c>
      <c r="C58" s="597">
        <v>0</v>
      </c>
      <c r="D58" s="596">
        <f t="shared" si="0"/>
        <v>0</v>
      </c>
      <c r="E58" s="596">
        <f t="shared" si="0"/>
        <v>0</v>
      </c>
    </row>
    <row r="59" spans="1:5" ht="15.65" x14ac:dyDescent="0.3">
      <c r="A59" s="170">
        <v>2211310</v>
      </c>
      <c r="B59" s="170" t="s">
        <v>70</v>
      </c>
      <c r="C59" s="601">
        <v>0</v>
      </c>
      <c r="D59" s="596">
        <f t="shared" si="0"/>
        <v>0</v>
      </c>
      <c r="E59" s="596">
        <f t="shared" si="0"/>
        <v>0</v>
      </c>
    </row>
    <row r="60" spans="1:5" ht="15.65" x14ac:dyDescent="0.3">
      <c r="A60" s="463">
        <v>2220100</v>
      </c>
      <c r="B60" s="463" t="s">
        <v>71</v>
      </c>
      <c r="C60" s="598">
        <f>C61</f>
        <v>2300000</v>
      </c>
      <c r="D60" s="604">
        <f t="shared" si="0"/>
        <v>2415000</v>
      </c>
      <c r="E60" s="604">
        <f t="shared" si="0"/>
        <v>2535750</v>
      </c>
    </row>
    <row r="61" spans="1:5" ht="15.65" x14ac:dyDescent="0.3">
      <c r="A61" s="170">
        <v>2220101</v>
      </c>
      <c r="B61" s="170" t="s">
        <v>72</v>
      </c>
      <c r="C61" s="601">
        <v>2300000</v>
      </c>
      <c r="D61" s="596">
        <f t="shared" si="0"/>
        <v>2415000</v>
      </c>
      <c r="E61" s="596">
        <f t="shared" si="0"/>
        <v>2535750</v>
      </c>
    </row>
    <row r="62" spans="1:5" ht="15.65" x14ac:dyDescent="0.3">
      <c r="A62" s="463">
        <v>2220200</v>
      </c>
      <c r="B62" s="463" t="s">
        <v>73</v>
      </c>
      <c r="C62" s="600">
        <f>C63+C64+C65+C66+C67+C68</f>
        <v>450000</v>
      </c>
      <c r="D62" s="604">
        <f t="shared" si="0"/>
        <v>472500</v>
      </c>
      <c r="E62" s="604">
        <f t="shared" si="0"/>
        <v>496125</v>
      </c>
    </row>
    <row r="63" spans="1:5" ht="15.65" x14ac:dyDescent="0.3">
      <c r="A63" s="170">
        <v>2220201</v>
      </c>
      <c r="B63" s="170" t="s">
        <v>74</v>
      </c>
      <c r="C63" s="597"/>
      <c r="D63" s="596">
        <f t="shared" si="0"/>
        <v>0</v>
      </c>
      <c r="E63" s="596">
        <f t="shared" si="0"/>
        <v>0</v>
      </c>
    </row>
    <row r="64" spans="1:5" ht="15.65" x14ac:dyDescent="0.3">
      <c r="A64" s="170">
        <v>2220202</v>
      </c>
      <c r="B64" s="170" t="s">
        <v>75</v>
      </c>
      <c r="C64" s="597"/>
      <c r="D64" s="596">
        <f t="shared" si="0"/>
        <v>0</v>
      </c>
      <c r="E64" s="596">
        <f t="shared" si="0"/>
        <v>0</v>
      </c>
    </row>
    <row r="65" spans="1:5" ht="15.65" x14ac:dyDescent="0.3">
      <c r="A65" s="170">
        <v>2220204</v>
      </c>
      <c r="B65" s="170" t="s">
        <v>404</v>
      </c>
      <c r="C65" s="597">
        <v>0</v>
      </c>
      <c r="D65" s="596">
        <f t="shared" si="0"/>
        <v>0</v>
      </c>
      <c r="E65" s="596">
        <f t="shared" si="0"/>
        <v>0</v>
      </c>
    </row>
    <row r="66" spans="1:5" ht="15.65" x14ac:dyDescent="0.3">
      <c r="A66" s="170">
        <v>2220205</v>
      </c>
      <c r="B66" s="170" t="s">
        <v>76</v>
      </c>
      <c r="C66" s="597">
        <v>0</v>
      </c>
      <c r="D66" s="596">
        <f t="shared" ref="D66:E78" si="1">(1.05*C66)</f>
        <v>0</v>
      </c>
      <c r="E66" s="596">
        <f t="shared" si="1"/>
        <v>0</v>
      </c>
    </row>
    <row r="67" spans="1:5" ht="15.65" x14ac:dyDescent="0.3">
      <c r="A67" s="170">
        <v>2220206</v>
      </c>
      <c r="B67" s="170" t="s">
        <v>690</v>
      </c>
      <c r="C67" s="597">
        <v>250000</v>
      </c>
      <c r="D67" s="596">
        <f t="shared" si="1"/>
        <v>262500</v>
      </c>
      <c r="E67" s="596">
        <f t="shared" si="1"/>
        <v>275625</v>
      </c>
    </row>
    <row r="68" spans="1:5" ht="15.65" x14ac:dyDescent="0.3">
      <c r="A68" s="170">
        <v>2220210</v>
      </c>
      <c r="B68" s="170" t="s">
        <v>1021</v>
      </c>
      <c r="C68" s="597">
        <v>200000</v>
      </c>
      <c r="D68" s="596">
        <f t="shared" si="1"/>
        <v>210000</v>
      </c>
      <c r="E68" s="596">
        <f t="shared" si="1"/>
        <v>220500</v>
      </c>
    </row>
    <row r="69" spans="1:5" ht="15.65" x14ac:dyDescent="0.3">
      <c r="A69" s="463">
        <v>2710100</v>
      </c>
      <c r="B69" s="463" t="s">
        <v>78</v>
      </c>
      <c r="C69" s="598">
        <f>C70+C71+C72</f>
        <v>499190</v>
      </c>
      <c r="D69" s="604">
        <f t="shared" si="1"/>
        <v>524149.5</v>
      </c>
      <c r="E69" s="604">
        <f t="shared" si="1"/>
        <v>550356.97499999998</v>
      </c>
    </row>
    <row r="70" spans="1:5" ht="15.65" x14ac:dyDescent="0.3">
      <c r="A70" s="65">
        <v>2710102</v>
      </c>
      <c r="B70" s="65" t="s">
        <v>79</v>
      </c>
      <c r="C70" s="597">
        <v>0</v>
      </c>
      <c r="D70" s="594">
        <f t="shared" si="1"/>
        <v>0</v>
      </c>
      <c r="E70" s="594">
        <f t="shared" si="1"/>
        <v>0</v>
      </c>
    </row>
    <row r="71" spans="1:5" ht="15.65" x14ac:dyDescent="0.3">
      <c r="A71" s="65">
        <v>2710105</v>
      </c>
      <c r="B71" s="65" t="s">
        <v>80</v>
      </c>
      <c r="C71" s="597">
        <f>2448682-2448682</f>
        <v>0</v>
      </c>
      <c r="D71" s="594">
        <f t="shared" si="1"/>
        <v>0</v>
      </c>
      <c r="E71" s="594">
        <f t="shared" si="1"/>
        <v>0</v>
      </c>
    </row>
    <row r="72" spans="1:5" ht="15.65" x14ac:dyDescent="0.3">
      <c r="A72" s="65"/>
      <c r="B72" s="65" t="s">
        <v>691</v>
      </c>
      <c r="C72" s="609">
        <f>500000-810</f>
        <v>499190</v>
      </c>
      <c r="D72" s="594">
        <f t="shared" si="1"/>
        <v>524149.5</v>
      </c>
      <c r="E72" s="594">
        <f t="shared" si="1"/>
        <v>550356.97499999998</v>
      </c>
    </row>
    <row r="73" spans="1:5" ht="15.65" x14ac:dyDescent="0.3">
      <c r="A73" s="64">
        <v>3111000</v>
      </c>
      <c r="B73" s="64" t="s">
        <v>82</v>
      </c>
      <c r="C73" s="598">
        <f>C74+C75+C76+C77+C78+C79+C80</f>
        <v>37716540</v>
      </c>
      <c r="D73" s="594">
        <f t="shared" si="1"/>
        <v>39602367</v>
      </c>
      <c r="E73" s="594">
        <f t="shared" si="1"/>
        <v>41582485.350000001</v>
      </c>
    </row>
    <row r="74" spans="1:5" ht="15.65" x14ac:dyDescent="0.3">
      <c r="A74" s="65">
        <v>3110900</v>
      </c>
      <c r="B74" s="65" t="s">
        <v>81</v>
      </c>
      <c r="C74" s="597"/>
      <c r="D74" s="602">
        <f t="shared" si="1"/>
        <v>0</v>
      </c>
      <c r="E74" s="602">
        <f t="shared" si="1"/>
        <v>0</v>
      </c>
    </row>
    <row r="75" spans="1:5" ht="15.65" x14ac:dyDescent="0.3">
      <c r="A75" s="65">
        <v>3111001</v>
      </c>
      <c r="B75" s="582" t="s">
        <v>83</v>
      </c>
      <c r="C75" s="601"/>
      <c r="D75" s="602">
        <f t="shared" si="1"/>
        <v>0</v>
      </c>
      <c r="E75" s="602">
        <f t="shared" si="1"/>
        <v>0</v>
      </c>
    </row>
    <row r="76" spans="1:5" ht="15.65" x14ac:dyDescent="0.3">
      <c r="A76" s="65">
        <v>3111002</v>
      </c>
      <c r="B76" s="65" t="s">
        <v>84</v>
      </c>
      <c r="C76" s="597"/>
      <c r="D76" s="602">
        <f t="shared" si="1"/>
        <v>0</v>
      </c>
      <c r="E76" s="602">
        <f t="shared" si="1"/>
        <v>0</v>
      </c>
    </row>
    <row r="77" spans="1:5" ht="15.65" x14ac:dyDescent="0.3">
      <c r="A77" s="65">
        <v>3111003</v>
      </c>
      <c r="B77" s="65" t="s">
        <v>336</v>
      </c>
      <c r="C77" s="597">
        <f>214905+1635</f>
        <v>216540</v>
      </c>
      <c r="D77" s="602">
        <f t="shared" si="1"/>
        <v>227367</v>
      </c>
      <c r="E77" s="602">
        <f t="shared" si="1"/>
        <v>238735.35</v>
      </c>
    </row>
    <row r="78" spans="1:5" ht="15.65" x14ac:dyDescent="0.3">
      <c r="A78" s="65" t="s">
        <v>280</v>
      </c>
      <c r="B78" s="582" t="s">
        <v>692</v>
      </c>
      <c r="C78" s="597"/>
      <c r="D78" s="602">
        <f t="shared" si="1"/>
        <v>0</v>
      </c>
      <c r="E78" s="602">
        <f t="shared" si="1"/>
        <v>0</v>
      </c>
    </row>
    <row r="79" spans="1:5" ht="15.65" x14ac:dyDescent="0.3">
      <c r="A79" s="65">
        <v>2410104</v>
      </c>
      <c r="B79" s="582" t="s">
        <v>245</v>
      </c>
      <c r="C79" s="609">
        <v>0</v>
      </c>
      <c r="D79" s="602"/>
      <c r="E79" s="602"/>
    </row>
    <row r="80" spans="1:5" ht="15.65" x14ac:dyDescent="0.3">
      <c r="A80" s="65"/>
      <c r="B80" s="582" t="s">
        <v>1022</v>
      </c>
      <c r="C80" s="597">
        <v>37500000</v>
      </c>
      <c r="D80" s="602"/>
      <c r="E80" s="602"/>
    </row>
    <row r="81" spans="1:5" ht="15.65" x14ac:dyDescent="0.3">
      <c r="A81" s="574"/>
      <c r="B81" s="583" t="s">
        <v>87</v>
      </c>
      <c r="C81" s="598">
        <f>C73+C69+C62+C60+C49+C47+C44+C41+C38+C34+C31+C25+C19+C14+C10+C2+C7+C5+C18+C30</f>
        <v>893199731</v>
      </c>
      <c r="D81" s="594">
        <f t="shared" ref="D81:E92" si="2">(1.05*C81)</f>
        <v>937859717.55000007</v>
      </c>
      <c r="E81" s="594">
        <f t="shared" si="2"/>
        <v>984752703.42750013</v>
      </c>
    </row>
    <row r="82" spans="1:5" ht="15.65" x14ac:dyDescent="0.3">
      <c r="A82" s="574"/>
      <c r="B82" s="583"/>
      <c r="C82" s="598"/>
      <c r="D82" s="594">
        <f t="shared" si="2"/>
        <v>0</v>
      </c>
      <c r="E82" s="594">
        <f t="shared" si="2"/>
        <v>0</v>
      </c>
    </row>
    <row r="83" spans="1:5" ht="46.75" x14ac:dyDescent="0.3">
      <c r="A83" s="610" t="s">
        <v>0</v>
      </c>
      <c r="B83" s="611" t="s">
        <v>405</v>
      </c>
      <c r="C83" s="560" t="s">
        <v>1018</v>
      </c>
      <c r="D83" s="560" t="s">
        <v>1019</v>
      </c>
      <c r="E83" s="560" t="s">
        <v>1020</v>
      </c>
    </row>
    <row r="84" spans="1:5" ht="15.65" x14ac:dyDescent="0.3">
      <c r="A84" s="28">
        <v>2210800</v>
      </c>
      <c r="B84" s="72" t="s">
        <v>48</v>
      </c>
      <c r="C84" s="612">
        <f>C85+C86+C87+C88+C89</f>
        <v>12265905</v>
      </c>
      <c r="D84" s="594">
        <f t="shared" si="2"/>
        <v>12879200.25</v>
      </c>
      <c r="E84" s="594">
        <f t="shared" si="2"/>
        <v>13523160.262500001</v>
      </c>
    </row>
    <row r="85" spans="1:5" ht="15.65" x14ac:dyDescent="0.3">
      <c r="A85" s="29" t="s">
        <v>1023</v>
      </c>
      <c r="B85" s="69" t="s">
        <v>686</v>
      </c>
      <c r="C85" s="613">
        <v>0</v>
      </c>
      <c r="D85" s="594">
        <f t="shared" si="2"/>
        <v>0</v>
      </c>
      <c r="E85" s="594">
        <f t="shared" si="2"/>
        <v>0</v>
      </c>
    </row>
    <row r="86" spans="1:5" ht="15.65" x14ac:dyDescent="0.3">
      <c r="A86" s="29" t="s">
        <v>1024</v>
      </c>
      <c r="B86" s="69" t="s">
        <v>50</v>
      </c>
      <c r="C86" s="601">
        <v>6480000</v>
      </c>
      <c r="D86" s="594">
        <f t="shared" si="2"/>
        <v>6804000</v>
      </c>
      <c r="E86" s="594">
        <f t="shared" si="2"/>
        <v>7144200</v>
      </c>
    </row>
    <row r="87" spans="1:5" ht="15.65" x14ac:dyDescent="0.3">
      <c r="A87" s="29" t="s">
        <v>1025</v>
      </c>
      <c r="B87" s="69" t="s">
        <v>695</v>
      </c>
      <c r="C87" s="597">
        <v>2000000</v>
      </c>
      <c r="D87" s="602">
        <f t="shared" si="2"/>
        <v>2100000</v>
      </c>
      <c r="E87" s="602">
        <f t="shared" si="2"/>
        <v>2205000</v>
      </c>
    </row>
    <row r="88" spans="1:5" ht="15.65" x14ac:dyDescent="0.3">
      <c r="A88" s="29" t="s">
        <v>1026</v>
      </c>
      <c r="B88" s="582" t="s">
        <v>83</v>
      </c>
      <c r="C88" s="614">
        <f>2000000-214095</f>
        <v>1785905</v>
      </c>
      <c r="D88" s="602">
        <f t="shared" si="2"/>
        <v>1875200.25</v>
      </c>
      <c r="E88" s="602">
        <f t="shared" si="2"/>
        <v>1968960.2625000002</v>
      </c>
    </row>
    <row r="89" spans="1:5" ht="15.65" x14ac:dyDescent="0.3">
      <c r="A89" s="65" t="s">
        <v>1027</v>
      </c>
      <c r="B89" s="65" t="s">
        <v>84</v>
      </c>
      <c r="C89" s="597">
        <v>2000000</v>
      </c>
      <c r="D89" s="602">
        <f t="shared" si="2"/>
        <v>2100000</v>
      </c>
      <c r="E89" s="602">
        <f t="shared" si="2"/>
        <v>2205000</v>
      </c>
    </row>
    <row r="90" spans="1:5" ht="15.65" x14ac:dyDescent="0.3">
      <c r="A90" s="28"/>
      <c r="B90" s="72" t="s">
        <v>406</v>
      </c>
      <c r="C90" s="612">
        <f>C84</f>
        <v>12265905</v>
      </c>
      <c r="D90" s="594">
        <f t="shared" si="2"/>
        <v>12879200.25</v>
      </c>
      <c r="E90" s="594">
        <f t="shared" si="2"/>
        <v>13523160.262500001</v>
      </c>
    </row>
    <row r="91" spans="1:5" ht="15.65" x14ac:dyDescent="0.3">
      <c r="A91" s="64"/>
      <c r="B91" s="64" t="s">
        <v>407</v>
      </c>
      <c r="C91" s="598">
        <f>C81+C90</f>
        <v>905465636</v>
      </c>
      <c r="D91" s="594">
        <f t="shared" si="2"/>
        <v>950738917.80000007</v>
      </c>
      <c r="E91" s="594">
        <f t="shared" si="2"/>
        <v>998275863.69000018</v>
      </c>
    </row>
    <row r="92" spans="1:5" ht="15.65" x14ac:dyDescent="0.3">
      <c r="A92" s="64"/>
      <c r="B92" s="64"/>
      <c r="C92" s="598"/>
      <c r="D92" s="594">
        <f t="shared" si="2"/>
        <v>0</v>
      </c>
      <c r="E92" s="594">
        <f t="shared" si="2"/>
        <v>0</v>
      </c>
    </row>
    <row r="93" spans="1:5" ht="46.75" x14ac:dyDescent="0.3">
      <c r="A93" s="615" t="s">
        <v>0</v>
      </c>
      <c r="B93" s="616" t="s">
        <v>90</v>
      </c>
      <c r="C93" s="560" t="s">
        <v>1018</v>
      </c>
      <c r="D93" s="560" t="s">
        <v>1019</v>
      </c>
      <c r="E93" s="560" t="s">
        <v>1020</v>
      </c>
    </row>
    <row r="94" spans="1:5" ht="15.65" x14ac:dyDescent="0.3">
      <c r="A94" s="29"/>
      <c r="B94" s="72" t="s">
        <v>90</v>
      </c>
      <c r="C94" s="598"/>
      <c r="D94" s="594"/>
      <c r="E94" s="594"/>
    </row>
    <row r="95" spans="1:5" ht="15.65" x14ac:dyDescent="0.3">
      <c r="A95" s="62">
        <v>2410104</v>
      </c>
      <c r="B95" s="69" t="s">
        <v>693</v>
      </c>
      <c r="C95" s="617">
        <f>2332541-583135</f>
        <v>1749406</v>
      </c>
      <c r="D95" s="594">
        <f t="shared" ref="D95:E99" si="3">(1.05*C95)</f>
        <v>1836876.3</v>
      </c>
      <c r="E95" s="594">
        <f t="shared" si="3"/>
        <v>1928720.1150000002</v>
      </c>
    </row>
    <row r="96" spans="1:5" ht="15.65" x14ac:dyDescent="0.3">
      <c r="A96" s="62"/>
      <c r="B96" s="62" t="s">
        <v>781</v>
      </c>
      <c r="C96" s="598"/>
      <c r="D96" s="594">
        <f t="shared" si="3"/>
        <v>0</v>
      </c>
      <c r="E96" s="594">
        <f t="shared" si="3"/>
        <v>0</v>
      </c>
    </row>
    <row r="97" spans="1:5" ht="15.65" x14ac:dyDescent="0.3">
      <c r="A97" s="618">
        <v>3111504</v>
      </c>
      <c r="B97" s="65" t="s">
        <v>408</v>
      </c>
      <c r="C97" s="609">
        <f>-9322268+19322268-558313.55</f>
        <v>9441686.4499999993</v>
      </c>
      <c r="D97" s="594">
        <f t="shared" si="3"/>
        <v>9913770.772499999</v>
      </c>
      <c r="E97" s="594">
        <f t="shared" si="3"/>
        <v>10409459.311124999</v>
      </c>
    </row>
    <row r="98" spans="1:5" ht="15.65" x14ac:dyDescent="0.3">
      <c r="A98" s="64"/>
      <c r="B98" s="64" t="s">
        <v>161</v>
      </c>
      <c r="C98" s="598">
        <f>SUM(C95:C97)</f>
        <v>11191092.449999999</v>
      </c>
      <c r="D98" s="594">
        <f t="shared" si="3"/>
        <v>11750647.0725</v>
      </c>
      <c r="E98" s="594">
        <f t="shared" si="3"/>
        <v>12338179.426125001</v>
      </c>
    </row>
    <row r="99" spans="1:5" ht="15.65" x14ac:dyDescent="0.3">
      <c r="A99" s="64"/>
      <c r="B99" s="64" t="s">
        <v>1028</v>
      </c>
      <c r="C99" s="598">
        <f>C98+C91</f>
        <v>916656728.45000005</v>
      </c>
      <c r="D99" s="594">
        <f t="shared" si="3"/>
        <v>962489564.87250006</v>
      </c>
      <c r="E99" s="594">
        <f t="shared" si="3"/>
        <v>1010614043.1161251</v>
      </c>
    </row>
    <row r="100" spans="1:5" ht="15.65" x14ac:dyDescent="0.3">
      <c r="A100" s="60"/>
      <c r="B100" s="60"/>
      <c r="C100" s="619"/>
      <c r="D100" s="594"/>
      <c r="E100" s="594"/>
    </row>
    <row r="101" spans="1:5" ht="46.75" x14ac:dyDescent="0.3">
      <c r="A101" s="620" t="s">
        <v>0</v>
      </c>
      <c r="B101" s="620" t="s">
        <v>694</v>
      </c>
      <c r="C101" s="560" t="s">
        <v>1018</v>
      </c>
      <c r="D101" s="560" t="s">
        <v>1019</v>
      </c>
      <c r="E101" s="560" t="s">
        <v>1020</v>
      </c>
    </row>
    <row r="102" spans="1:5" ht="15.65" x14ac:dyDescent="0.3">
      <c r="A102" s="28">
        <v>2210100</v>
      </c>
      <c r="B102" s="72" t="s">
        <v>23</v>
      </c>
      <c r="C102" s="621">
        <f>C103+C104</f>
        <v>250000</v>
      </c>
      <c r="D102" s="594">
        <f t="shared" ref="D102:E165" si="4">(1.05*C102)</f>
        <v>262500</v>
      </c>
      <c r="E102" s="594">
        <f t="shared" si="4"/>
        <v>275625</v>
      </c>
    </row>
    <row r="103" spans="1:5" ht="15.65" x14ac:dyDescent="0.3">
      <c r="A103" s="29">
        <v>2210101</v>
      </c>
      <c r="B103" s="69" t="s">
        <v>24</v>
      </c>
      <c r="C103" s="601">
        <v>200000</v>
      </c>
      <c r="D103" s="594">
        <f t="shared" si="4"/>
        <v>210000</v>
      </c>
      <c r="E103" s="594">
        <f t="shared" si="4"/>
        <v>220500</v>
      </c>
    </row>
    <row r="104" spans="1:5" ht="15.65" x14ac:dyDescent="0.3">
      <c r="A104" s="29">
        <v>2210102</v>
      </c>
      <c r="B104" s="69" t="s">
        <v>25</v>
      </c>
      <c r="C104" s="601">
        <v>50000</v>
      </c>
      <c r="D104" s="594">
        <f t="shared" si="4"/>
        <v>52500</v>
      </c>
      <c r="E104" s="594">
        <f t="shared" si="4"/>
        <v>55125</v>
      </c>
    </row>
    <row r="105" spans="1:5" ht="15.65" x14ac:dyDescent="0.3">
      <c r="A105" s="28">
        <v>2210200</v>
      </c>
      <c r="B105" s="72" t="s">
        <v>26</v>
      </c>
      <c r="C105" s="621">
        <f>C106+C107</f>
        <v>500000</v>
      </c>
      <c r="D105" s="594">
        <f t="shared" si="4"/>
        <v>525000</v>
      </c>
      <c r="E105" s="594">
        <f t="shared" si="4"/>
        <v>551250</v>
      </c>
    </row>
    <row r="106" spans="1:5" ht="15.65" x14ac:dyDescent="0.3">
      <c r="A106" s="29">
        <v>2210201</v>
      </c>
      <c r="B106" s="69" t="s">
        <v>27</v>
      </c>
      <c r="C106" s="601">
        <v>500000</v>
      </c>
      <c r="D106" s="594">
        <f t="shared" si="4"/>
        <v>525000</v>
      </c>
      <c r="E106" s="594">
        <f t="shared" si="4"/>
        <v>551250</v>
      </c>
    </row>
    <row r="107" spans="1:5" ht="15.65" x14ac:dyDescent="0.3">
      <c r="A107" s="76">
        <v>2210202</v>
      </c>
      <c r="B107" s="69" t="s">
        <v>389</v>
      </c>
      <c r="C107" s="622"/>
      <c r="D107" s="594">
        <f t="shared" si="4"/>
        <v>0</v>
      </c>
      <c r="E107" s="594">
        <f t="shared" si="4"/>
        <v>0</v>
      </c>
    </row>
    <row r="108" spans="1:5" ht="15.65" x14ac:dyDescent="0.3">
      <c r="A108" s="28">
        <v>2210300</v>
      </c>
      <c r="B108" s="707" t="s">
        <v>30</v>
      </c>
      <c r="C108" s="621">
        <f>C109+C110+C111+C112+C113</f>
        <v>4000000</v>
      </c>
      <c r="D108" s="594">
        <f t="shared" si="4"/>
        <v>4200000</v>
      </c>
      <c r="E108" s="594">
        <f t="shared" si="4"/>
        <v>4410000</v>
      </c>
    </row>
    <row r="109" spans="1:5" ht="15.65" x14ac:dyDescent="0.3">
      <c r="A109" s="29">
        <v>2210301</v>
      </c>
      <c r="B109" s="69" t="s">
        <v>31</v>
      </c>
      <c r="C109" s="601">
        <v>1000000</v>
      </c>
      <c r="D109" s="594">
        <f t="shared" si="4"/>
        <v>1050000</v>
      </c>
      <c r="E109" s="594">
        <f t="shared" si="4"/>
        <v>1102500</v>
      </c>
    </row>
    <row r="110" spans="1:5" ht="15.65" x14ac:dyDescent="0.3">
      <c r="A110" s="29">
        <v>2210302</v>
      </c>
      <c r="B110" s="69" t="s">
        <v>681</v>
      </c>
      <c r="C110" s="601">
        <v>1000000</v>
      </c>
      <c r="D110" s="594">
        <f t="shared" si="4"/>
        <v>1050000</v>
      </c>
      <c r="E110" s="594">
        <f t="shared" si="4"/>
        <v>1102500</v>
      </c>
    </row>
    <row r="111" spans="1:5" ht="15.65" x14ac:dyDescent="0.3">
      <c r="A111" s="29">
        <v>2210303</v>
      </c>
      <c r="B111" s="69" t="s">
        <v>32</v>
      </c>
      <c r="C111" s="601">
        <v>2000000</v>
      </c>
      <c r="D111" s="594">
        <f t="shared" si="4"/>
        <v>2100000</v>
      </c>
      <c r="E111" s="594">
        <f t="shared" si="4"/>
        <v>2205000</v>
      </c>
    </row>
    <row r="112" spans="1:5" ht="15.65" x14ac:dyDescent="0.3">
      <c r="A112" s="29" t="s">
        <v>33</v>
      </c>
      <c r="B112" s="29" t="s">
        <v>116</v>
      </c>
      <c r="C112" s="623">
        <v>0</v>
      </c>
      <c r="D112" s="594">
        <f t="shared" si="4"/>
        <v>0</v>
      </c>
      <c r="E112" s="594">
        <f t="shared" si="4"/>
        <v>0</v>
      </c>
    </row>
    <row r="113" spans="1:5" ht="15.65" x14ac:dyDescent="0.3">
      <c r="A113" s="29" t="s">
        <v>35</v>
      </c>
      <c r="B113" s="29" t="s">
        <v>36</v>
      </c>
      <c r="C113" s="623">
        <v>0</v>
      </c>
      <c r="D113" s="594">
        <f t="shared" si="4"/>
        <v>0</v>
      </c>
      <c r="E113" s="594">
        <f t="shared" si="4"/>
        <v>0</v>
      </c>
    </row>
    <row r="114" spans="1:5" ht="15.65" x14ac:dyDescent="0.3">
      <c r="A114" s="29" t="s">
        <v>117</v>
      </c>
      <c r="B114" s="28" t="s">
        <v>118</v>
      </c>
      <c r="C114" s="612">
        <f>C115+C116+C117+C118+C119</f>
        <v>1000000</v>
      </c>
      <c r="D114" s="594">
        <f t="shared" si="4"/>
        <v>1050000</v>
      </c>
      <c r="E114" s="594">
        <f t="shared" si="4"/>
        <v>1102500</v>
      </c>
    </row>
    <row r="115" spans="1:5" ht="15.65" x14ac:dyDescent="0.3">
      <c r="A115" s="29" t="s">
        <v>119</v>
      </c>
      <c r="B115" s="29" t="s">
        <v>120</v>
      </c>
      <c r="C115" s="613">
        <v>250000</v>
      </c>
      <c r="D115" s="594">
        <f t="shared" si="4"/>
        <v>262500</v>
      </c>
      <c r="E115" s="594">
        <f t="shared" si="4"/>
        <v>275625</v>
      </c>
    </row>
    <row r="116" spans="1:5" ht="15.65" x14ac:dyDescent="0.3">
      <c r="A116" s="29" t="s">
        <v>197</v>
      </c>
      <c r="B116" s="29" t="s">
        <v>198</v>
      </c>
      <c r="C116" s="622">
        <v>250000</v>
      </c>
      <c r="D116" s="594">
        <f t="shared" si="4"/>
        <v>262500</v>
      </c>
      <c r="E116" s="594">
        <f t="shared" si="4"/>
        <v>275625</v>
      </c>
    </row>
    <row r="117" spans="1:5" ht="15.65" x14ac:dyDescent="0.3">
      <c r="A117" s="29" t="s">
        <v>121</v>
      </c>
      <c r="B117" s="29" t="s">
        <v>115</v>
      </c>
      <c r="C117" s="613">
        <v>200000</v>
      </c>
      <c r="D117" s="594">
        <f t="shared" si="4"/>
        <v>210000</v>
      </c>
      <c r="E117" s="594">
        <f t="shared" si="4"/>
        <v>220500</v>
      </c>
    </row>
    <row r="118" spans="1:5" ht="15.65" x14ac:dyDescent="0.3">
      <c r="A118" s="29" t="s">
        <v>393</v>
      </c>
      <c r="B118" s="29" t="s">
        <v>391</v>
      </c>
      <c r="C118" s="622">
        <v>100000</v>
      </c>
      <c r="D118" s="594">
        <f t="shared" si="4"/>
        <v>105000</v>
      </c>
      <c r="E118" s="594">
        <f t="shared" si="4"/>
        <v>110250</v>
      </c>
    </row>
    <row r="119" spans="1:5" ht="15.65" x14ac:dyDescent="0.3">
      <c r="A119" s="29" t="s">
        <v>395</v>
      </c>
      <c r="B119" s="29" t="s">
        <v>396</v>
      </c>
      <c r="C119" s="623">
        <v>200000</v>
      </c>
      <c r="D119" s="594">
        <f t="shared" si="4"/>
        <v>210000</v>
      </c>
      <c r="E119" s="594">
        <f t="shared" si="4"/>
        <v>220500</v>
      </c>
    </row>
    <row r="120" spans="1:5" ht="15.65" x14ac:dyDescent="0.3">
      <c r="A120" s="28">
        <v>2210500</v>
      </c>
      <c r="B120" s="707" t="s">
        <v>38</v>
      </c>
      <c r="C120" s="621">
        <f>C121+C122+C123+C124</f>
        <v>600000</v>
      </c>
      <c r="D120" s="594">
        <f t="shared" si="4"/>
        <v>630000</v>
      </c>
      <c r="E120" s="594">
        <f t="shared" si="4"/>
        <v>661500</v>
      </c>
    </row>
    <row r="121" spans="1:5" ht="15.65" x14ac:dyDescent="0.3">
      <c r="A121" s="29" t="s">
        <v>200</v>
      </c>
      <c r="B121" s="29" t="s">
        <v>201</v>
      </c>
      <c r="C121" s="622">
        <v>0</v>
      </c>
      <c r="D121" s="594">
        <f t="shared" si="4"/>
        <v>0</v>
      </c>
      <c r="E121" s="594">
        <f t="shared" si="4"/>
        <v>0</v>
      </c>
    </row>
    <row r="122" spans="1:5" ht="15.65" x14ac:dyDescent="0.3">
      <c r="A122" s="29">
        <v>2210503</v>
      </c>
      <c r="B122" s="69" t="s">
        <v>40</v>
      </c>
      <c r="C122" s="601">
        <v>100000</v>
      </c>
      <c r="D122" s="594">
        <f t="shared" si="4"/>
        <v>105000</v>
      </c>
      <c r="E122" s="594">
        <f t="shared" si="4"/>
        <v>110250</v>
      </c>
    </row>
    <row r="123" spans="1:5" ht="15.65" x14ac:dyDescent="0.3">
      <c r="A123" s="29" t="s">
        <v>124</v>
      </c>
      <c r="B123" s="29" t="s">
        <v>125</v>
      </c>
      <c r="C123" s="601">
        <v>500000</v>
      </c>
      <c r="D123" s="594">
        <f t="shared" si="4"/>
        <v>525000</v>
      </c>
      <c r="E123" s="594">
        <f t="shared" si="4"/>
        <v>551250</v>
      </c>
    </row>
    <row r="124" spans="1:5" ht="15.65" x14ac:dyDescent="0.3">
      <c r="A124" s="29">
        <v>2210505</v>
      </c>
      <c r="B124" s="69" t="s">
        <v>41</v>
      </c>
      <c r="C124" s="623">
        <v>0</v>
      </c>
      <c r="D124" s="594">
        <f t="shared" si="4"/>
        <v>0</v>
      </c>
      <c r="E124" s="594">
        <f t="shared" si="4"/>
        <v>0</v>
      </c>
    </row>
    <row r="125" spans="1:5" ht="15.65" x14ac:dyDescent="0.3">
      <c r="A125" s="28">
        <v>2210600</v>
      </c>
      <c r="B125" s="707" t="s">
        <v>42</v>
      </c>
      <c r="C125" s="621">
        <f>C126+C127</f>
        <v>0</v>
      </c>
      <c r="D125" s="594">
        <f t="shared" si="4"/>
        <v>0</v>
      </c>
      <c r="E125" s="594">
        <f t="shared" si="4"/>
        <v>0</v>
      </c>
    </row>
    <row r="126" spans="1:5" ht="15.65" x14ac:dyDescent="0.3">
      <c r="A126" s="29">
        <v>2210603</v>
      </c>
      <c r="B126" s="69" t="s">
        <v>43</v>
      </c>
      <c r="C126" s="622"/>
      <c r="D126" s="594">
        <f t="shared" si="4"/>
        <v>0</v>
      </c>
      <c r="E126" s="594">
        <f t="shared" si="4"/>
        <v>0</v>
      </c>
    </row>
    <row r="127" spans="1:5" ht="15.65" x14ac:dyDescent="0.3">
      <c r="A127" s="29">
        <v>2210604</v>
      </c>
      <c r="B127" s="708" t="s">
        <v>44</v>
      </c>
      <c r="C127" s="623">
        <v>0</v>
      </c>
      <c r="D127" s="594">
        <f t="shared" si="4"/>
        <v>0</v>
      </c>
      <c r="E127" s="594">
        <f t="shared" si="4"/>
        <v>0</v>
      </c>
    </row>
    <row r="128" spans="1:5" ht="15.65" x14ac:dyDescent="0.3">
      <c r="A128" s="28">
        <v>2210700</v>
      </c>
      <c r="B128" s="707" t="s">
        <v>45</v>
      </c>
      <c r="C128" s="621">
        <f>C129+C130+C131+C132+C133</f>
        <v>3199996</v>
      </c>
      <c r="D128" s="594">
        <f t="shared" si="4"/>
        <v>3359995.8000000003</v>
      </c>
      <c r="E128" s="594">
        <f t="shared" si="4"/>
        <v>3527995.5900000003</v>
      </c>
    </row>
    <row r="129" spans="1:5" ht="15.65" x14ac:dyDescent="0.3">
      <c r="A129" s="29">
        <v>2210710</v>
      </c>
      <c r="B129" s="69" t="s">
        <v>789</v>
      </c>
      <c r="C129" s="601">
        <v>1500000</v>
      </c>
      <c r="D129" s="594">
        <f t="shared" si="4"/>
        <v>1575000</v>
      </c>
      <c r="E129" s="594">
        <f t="shared" si="4"/>
        <v>1653750</v>
      </c>
    </row>
    <row r="130" spans="1:5" x14ac:dyDescent="0.35">
      <c r="A130" s="624">
        <v>2210711</v>
      </c>
      <c r="B130" s="29" t="s">
        <v>47</v>
      </c>
      <c r="C130" s="601">
        <v>1699996</v>
      </c>
      <c r="D130" s="594">
        <f t="shared" si="4"/>
        <v>1784995.8</v>
      </c>
      <c r="E130" s="594">
        <f t="shared" si="4"/>
        <v>1874245.59</v>
      </c>
    </row>
    <row r="131" spans="1:5" x14ac:dyDescent="0.35">
      <c r="A131" s="624" t="s">
        <v>412</v>
      </c>
      <c r="B131" s="29" t="s">
        <v>398</v>
      </c>
      <c r="C131" s="623">
        <v>0</v>
      </c>
      <c r="D131" s="594">
        <f t="shared" si="4"/>
        <v>0</v>
      </c>
      <c r="E131" s="594">
        <f t="shared" si="4"/>
        <v>0</v>
      </c>
    </row>
    <row r="132" spans="1:5" x14ac:dyDescent="0.35">
      <c r="A132" s="339" t="s">
        <v>332</v>
      </c>
      <c r="B132" s="76" t="s">
        <v>333</v>
      </c>
      <c r="C132" s="623"/>
      <c r="D132" s="594">
        <f t="shared" si="4"/>
        <v>0</v>
      </c>
      <c r="E132" s="594">
        <f t="shared" si="4"/>
        <v>0</v>
      </c>
    </row>
    <row r="133" spans="1:5" x14ac:dyDescent="0.35">
      <c r="A133" s="624" t="s">
        <v>312</v>
      </c>
      <c r="B133" s="29" t="s">
        <v>46</v>
      </c>
      <c r="C133" s="623">
        <v>0</v>
      </c>
      <c r="D133" s="594">
        <f t="shared" si="4"/>
        <v>0</v>
      </c>
      <c r="E133" s="594">
        <f t="shared" si="4"/>
        <v>0</v>
      </c>
    </row>
    <row r="134" spans="1:5" x14ac:dyDescent="0.35">
      <c r="A134" s="624" t="s">
        <v>413</v>
      </c>
      <c r="B134" s="29" t="s">
        <v>414</v>
      </c>
      <c r="C134" s="613">
        <v>0</v>
      </c>
      <c r="D134" s="594">
        <f t="shared" si="4"/>
        <v>0</v>
      </c>
      <c r="E134" s="594">
        <f t="shared" si="4"/>
        <v>0</v>
      </c>
    </row>
    <row r="135" spans="1:5" x14ac:dyDescent="0.3">
      <c r="A135" s="28">
        <v>2210800</v>
      </c>
      <c r="B135" s="707" t="s">
        <v>48</v>
      </c>
      <c r="C135" s="621">
        <f>C136+C137</f>
        <v>4000000</v>
      </c>
      <c r="D135" s="594">
        <f t="shared" si="4"/>
        <v>4200000</v>
      </c>
      <c r="E135" s="594">
        <f t="shared" si="4"/>
        <v>4410000</v>
      </c>
    </row>
    <row r="136" spans="1:5" x14ac:dyDescent="0.35">
      <c r="A136" s="29">
        <v>2210801</v>
      </c>
      <c r="B136" s="69" t="s">
        <v>49</v>
      </c>
      <c r="C136" s="601">
        <v>1500000</v>
      </c>
      <c r="D136" s="594">
        <f t="shared" si="4"/>
        <v>1575000</v>
      </c>
      <c r="E136" s="594">
        <f t="shared" si="4"/>
        <v>1653750</v>
      </c>
    </row>
    <row r="137" spans="1:5" x14ac:dyDescent="0.35">
      <c r="A137" s="29">
        <v>2210802</v>
      </c>
      <c r="B137" s="69" t="s">
        <v>421</v>
      </c>
      <c r="C137" s="601">
        <v>2500000</v>
      </c>
      <c r="D137" s="594">
        <f t="shared" si="4"/>
        <v>2625000</v>
      </c>
      <c r="E137" s="594">
        <f t="shared" si="4"/>
        <v>2756250</v>
      </c>
    </row>
    <row r="138" spans="1:5" x14ac:dyDescent="0.3">
      <c r="A138" s="28">
        <v>2211000</v>
      </c>
      <c r="B138" s="72" t="s">
        <v>51</v>
      </c>
      <c r="C138" s="621">
        <f>C139</f>
        <v>0</v>
      </c>
      <c r="D138" s="594">
        <f t="shared" si="4"/>
        <v>0</v>
      </c>
      <c r="E138" s="594">
        <f t="shared" si="4"/>
        <v>0</v>
      </c>
    </row>
    <row r="139" spans="1:5" x14ac:dyDescent="0.35">
      <c r="A139" s="29">
        <v>2211016</v>
      </c>
      <c r="B139" s="69" t="s">
        <v>55</v>
      </c>
      <c r="C139" s="623">
        <v>0</v>
      </c>
      <c r="D139" s="594">
        <f t="shared" si="4"/>
        <v>0</v>
      </c>
      <c r="E139" s="594">
        <f t="shared" si="4"/>
        <v>0</v>
      </c>
    </row>
    <row r="140" spans="1:5" x14ac:dyDescent="0.3">
      <c r="A140" s="28">
        <v>2211100</v>
      </c>
      <c r="B140" s="72" t="s">
        <v>56</v>
      </c>
      <c r="C140" s="621">
        <f>C141+C142</f>
        <v>750000</v>
      </c>
      <c r="D140" s="594">
        <f t="shared" si="4"/>
        <v>787500</v>
      </c>
      <c r="E140" s="594">
        <f t="shared" si="4"/>
        <v>826875</v>
      </c>
    </row>
    <row r="141" spans="1:5" x14ac:dyDescent="0.35">
      <c r="A141" s="29">
        <v>2211101</v>
      </c>
      <c r="B141" s="69" t="s">
        <v>57</v>
      </c>
      <c r="C141" s="601">
        <v>700000</v>
      </c>
      <c r="D141" s="594">
        <f t="shared" si="4"/>
        <v>735000</v>
      </c>
      <c r="E141" s="594">
        <f t="shared" si="4"/>
        <v>771750</v>
      </c>
    </row>
    <row r="142" spans="1:5" x14ac:dyDescent="0.35">
      <c r="A142" s="29">
        <v>2211103</v>
      </c>
      <c r="B142" s="69" t="s">
        <v>59</v>
      </c>
      <c r="C142" s="601">
        <v>50000</v>
      </c>
      <c r="D142" s="594">
        <f t="shared" si="4"/>
        <v>52500</v>
      </c>
      <c r="E142" s="594">
        <f t="shared" si="4"/>
        <v>55125</v>
      </c>
    </row>
    <row r="143" spans="1:5" x14ac:dyDescent="0.3">
      <c r="A143" s="28">
        <v>2211200</v>
      </c>
      <c r="B143" s="72" t="s">
        <v>60</v>
      </c>
      <c r="C143" s="621">
        <f>C144</f>
        <v>1000000</v>
      </c>
      <c r="D143" s="594">
        <f t="shared" si="4"/>
        <v>1050000</v>
      </c>
      <c r="E143" s="594">
        <f t="shared" si="4"/>
        <v>1102500</v>
      </c>
    </row>
    <row r="144" spans="1:5" x14ac:dyDescent="0.35">
      <c r="A144" s="29">
        <v>2211201</v>
      </c>
      <c r="B144" s="69" t="s">
        <v>61</v>
      </c>
      <c r="C144" s="601">
        <v>1000000</v>
      </c>
      <c r="D144" s="594">
        <f t="shared" si="4"/>
        <v>1050000</v>
      </c>
      <c r="E144" s="594">
        <f t="shared" si="4"/>
        <v>1102500</v>
      </c>
    </row>
    <row r="145" spans="1:5" x14ac:dyDescent="0.3">
      <c r="A145" s="28">
        <v>2211300</v>
      </c>
      <c r="B145" s="72" t="s">
        <v>62</v>
      </c>
      <c r="C145" s="621">
        <f>C146+C147+C148+C149+C150+C151+C152+C153+C154</f>
        <v>1900000</v>
      </c>
      <c r="D145" s="594">
        <f t="shared" si="4"/>
        <v>1995000</v>
      </c>
      <c r="E145" s="594">
        <f t="shared" si="4"/>
        <v>2094750</v>
      </c>
    </row>
    <row r="146" spans="1:5" x14ac:dyDescent="0.35">
      <c r="A146" s="29">
        <v>2211309</v>
      </c>
      <c r="B146" s="69" t="s">
        <v>416</v>
      </c>
      <c r="C146" s="623">
        <v>0</v>
      </c>
      <c r="D146" s="594">
        <f t="shared" si="4"/>
        <v>0</v>
      </c>
      <c r="E146" s="594">
        <f t="shared" si="4"/>
        <v>0</v>
      </c>
    </row>
    <row r="147" spans="1:5" x14ac:dyDescent="0.35">
      <c r="A147" s="29">
        <v>2211305</v>
      </c>
      <c r="B147" s="69" t="s">
        <v>64</v>
      </c>
      <c r="C147" s="623">
        <v>0</v>
      </c>
      <c r="D147" s="594">
        <f t="shared" si="4"/>
        <v>0</v>
      </c>
      <c r="E147" s="594">
        <f t="shared" si="4"/>
        <v>0</v>
      </c>
    </row>
    <row r="148" spans="1:5" x14ac:dyDescent="0.35">
      <c r="A148" s="76">
        <v>2640504</v>
      </c>
      <c r="B148" s="76" t="s">
        <v>527</v>
      </c>
      <c r="C148" s="623">
        <v>0</v>
      </c>
      <c r="D148" s="594">
        <f t="shared" si="4"/>
        <v>0</v>
      </c>
      <c r="E148" s="594">
        <f t="shared" si="4"/>
        <v>0</v>
      </c>
    </row>
    <row r="149" spans="1:5" x14ac:dyDescent="0.35">
      <c r="A149" s="76">
        <v>2211320</v>
      </c>
      <c r="B149" s="76" t="s">
        <v>674</v>
      </c>
      <c r="C149" s="601">
        <f>2000000-500000</f>
        <v>1500000</v>
      </c>
      <c r="D149" s="594">
        <f t="shared" si="4"/>
        <v>1575000</v>
      </c>
      <c r="E149" s="594">
        <f t="shared" si="4"/>
        <v>1653750</v>
      </c>
    </row>
    <row r="150" spans="1:5" x14ac:dyDescent="0.35">
      <c r="A150" s="29">
        <v>2211306</v>
      </c>
      <c r="B150" s="69" t="s">
        <v>65</v>
      </c>
      <c r="C150" s="623">
        <v>100000</v>
      </c>
      <c r="D150" s="594">
        <f t="shared" si="4"/>
        <v>105000</v>
      </c>
      <c r="E150" s="594">
        <f t="shared" si="4"/>
        <v>110250</v>
      </c>
    </row>
    <row r="151" spans="1:5" x14ac:dyDescent="0.35">
      <c r="A151" s="29">
        <v>2210904</v>
      </c>
      <c r="B151" s="708" t="s">
        <v>66</v>
      </c>
      <c r="C151" s="601">
        <v>300000</v>
      </c>
      <c r="D151" s="594">
        <f t="shared" si="4"/>
        <v>315000</v>
      </c>
      <c r="E151" s="594">
        <f t="shared" si="4"/>
        <v>330750</v>
      </c>
    </row>
    <row r="152" spans="1:5" x14ac:dyDescent="0.35">
      <c r="A152" s="29">
        <v>2410104</v>
      </c>
      <c r="B152" s="69" t="s">
        <v>268</v>
      </c>
      <c r="C152" s="601"/>
      <c r="D152" s="594">
        <f t="shared" si="4"/>
        <v>0</v>
      </c>
      <c r="E152" s="594">
        <f t="shared" si="4"/>
        <v>0</v>
      </c>
    </row>
    <row r="153" spans="1:5" x14ac:dyDescent="0.35">
      <c r="A153" s="29">
        <v>3110701</v>
      </c>
      <c r="B153" s="69" t="s">
        <v>67</v>
      </c>
      <c r="C153" s="623">
        <v>0</v>
      </c>
      <c r="D153" s="594">
        <f t="shared" si="4"/>
        <v>0</v>
      </c>
      <c r="E153" s="594">
        <f t="shared" si="4"/>
        <v>0</v>
      </c>
    </row>
    <row r="154" spans="1:5" x14ac:dyDescent="0.35">
      <c r="A154" s="29">
        <v>2211310</v>
      </c>
      <c r="B154" s="69" t="s">
        <v>70</v>
      </c>
      <c r="C154" s="623"/>
      <c r="D154" s="594">
        <f t="shared" si="4"/>
        <v>0</v>
      </c>
      <c r="E154" s="594">
        <f t="shared" si="4"/>
        <v>0</v>
      </c>
    </row>
    <row r="155" spans="1:5" x14ac:dyDescent="0.3">
      <c r="A155" s="28">
        <v>2220100</v>
      </c>
      <c r="B155" s="72" t="s">
        <v>71</v>
      </c>
      <c r="C155" s="621">
        <f>C156</f>
        <v>500000</v>
      </c>
      <c r="D155" s="594">
        <f t="shared" si="4"/>
        <v>525000</v>
      </c>
      <c r="E155" s="594">
        <f t="shared" si="4"/>
        <v>551250</v>
      </c>
    </row>
    <row r="156" spans="1:5" x14ac:dyDescent="0.35">
      <c r="A156" s="29">
        <v>2220101</v>
      </c>
      <c r="B156" s="69" t="s">
        <v>72</v>
      </c>
      <c r="C156" s="601">
        <v>500000</v>
      </c>
      <c r="D156" s="594">
        <f t="shared" si="4"/>
        <v>525000</v>
      </c>
      <c r="E156" s="594">
        <f t="shared" si="4"/>
        <v>551250</v>
      </c>
    </row>
    <row r="157" spans="1:5" x14ac:dyDescent="0.3">
      <c r="A157" s="28">
        <v>2220200</v>
      </c>
      <c r="B157" s="72" t="s">
        <v>73</v>
      </c>
      <c r="C157" s="621">
        <f>C158+C159+C160+C161+C162</f>
        <v>200000</v>
      </c>
      <c r="D157" s="594">
        <f t="shared" si="4"/>
        <v>210000</v>
      </c>
      <c r="E157" s="594">
        <f t="shared" si="4"/>
        <v>220500</v>
      </c>
    </row>
    <row r="158" spans="1:5" x14ac:dyDescent="0.35">
      <c r="A158" s="29">
        <v>2220201</v>
      </c>
      <c r="B158" s="69" t="s">
        <v>74</v>
      </c>
      <c r="C158" s="623">
        <v>0</v>
      </c>
      <c r="D158" s="594">
        <f t="shared" si="4"/>
        <v>0</v>
      </c>
      <c r="E158" s="594">
        <f t="shared" si="4"/>
        <v>0</v>
      </c>
    </row>
    <row r="159" spans="1:5" x14ac:dyDescent="0.35">
      <c r="A159" s="29">
        <v>2220202</v>
      </c>
      <c r="B159" s="69" t="s">
        <v>75</v>
      </c>
      <c r="C159" s="613">
        <v>0</v>
      </c>
      <c r="D159" s="594">
        <f t="shared" si="4"/>
        <v>0</v>
      </c>
      <c r="E159" s="594">
        <f t="shared" si="4"/>
        <v>0</v>
      </c>
    </row>
    <row r="160" spans="1:5" x14ac:dyDescent="0.35">
      <c r="A160" s="29">
        <v>2220204</v>
      </c>
      <c r="B160" s="69" t="s">
        <v>404</v>
      </c>
      <c r="C160" s="623">
        <v>0</v>
      </c>
      <c r="D160" s="594">
        <f t="shared" si="4"/>
        <v>0</v>
      </c>
      <c r="E160" s="594">
        <f t="shared" si="4"/>
        <v>0</v>
      </c>
    </row>
    <row r="161" spans="1:5" x14ac:dyDescent="0.35">
      <c r="A161" s="29">
        <v>2220205</v>
      </c>
      <c r="B161" s="69" t="s">
        <v>444</v>
      </c>
      <c r="C161" s="623">
        <v>0</v>
      </c>
      <c r="D161" s="594">
        <f t="shared" si="4"/>
        <v>0</v>
      </c>
      <c r="E161" s="594">
        <f t="shared" si="4"/>
        <v>0</v>
      </c>
    </row>
    <row r="162" spans="1:5" x14ac:dyDescent="0.35">
      <c r="A162" s="29">
        <v>2220210</v>
      </c>
      <c r="B162" s="69" t="s">
        <v>1029</v>
      </c>
      <c r="C162" s="601">
        <v>200000</v>
      </c>
      <c r="D162" s="594">
        <f t="shared" si="4"/>
        <v>210000</v>
      </c>
      <c r="E162" s="594">
        <f t="shared" si="4"/>
        <v>220500</v>
      </c>
    </row>
    <row r="163" spans="1:5" x14ac:dyDescent="0.3">
      <c r="A163" s="28">
        <v>2710100</v>
      </c>
      <c r="B163" s="72" t="s">
        <v>78</v>
      </c>
      <c r="C163" s="621">
        <f>C164+C165+C166</f>
        <v>0</v>
      </c>
      <c r="D163" s="594">
        <f t="shared" si="4"/>
        <v>0</v>
      </c>
      <c r="E163" s="594">
        <f t="shared" si="4"/>
        <v>0</v>
      </c>
    </row>
    <row r="164" spans="1:5" x14ac:dyDescent="0.35">
      <c r="A164" s="29">
        <v>2710102</v>
      </c>
      <c r="B164" s="69" t="s">
        <v>79</v>
      </c>
      <c r="C164" s="623">
        <v>0</v>
      </c>
      <c r="D164" s="594">
        <f t="shared" si="4"/>
        <v>0</v>
      </c>
      <c r="E164" s="594">
        <f t="shared" si="4"/>
        <v>0</v>
      </c>
    </row>
    <row r="165" spans="1:5" x14ac:dyDescent="0.35">
      <c r="A165" s="29">
        <v>2710105</v>
      </c>
      <c r="B165" s="69" t="s">
        <v>80</v>
      </c>
      <c r="C165" s="621">
        <v>0</v>
      </c>
      <c r="D165" s="594">
        <f t="shared" si="4"/>
        <v>0</v>
      </c>
      <c r="E165" s="594">
        <f t="shared" si="4"/>
        <v>0</v>
      </c>
    </row>
    <row r="166" spans="1:5" x14ac:dyDescent="0.35">
      <c r="A166" s="29">
        <v>3110900</v>
      </c>
      <c r="B166" s="69" t="s">
        <v>81</v>
      </c>
      <c r="C166" s="621"/>
      <c r="D166" s="594">
        <f t="shared" ref="D166:E170" si="5">(1.05*C166)</f>
        <v>0</v>
      </c>
      <c r="E166" s="594">
        <f t="shared" si="5"/>
        <v>0</v>
      </c>
    </row>
    <row r="167" spans="1:5" x14ac:dyDescent="0.3">
      <c r="A167" s="28">
        <v>3111000</v>
      </c>
      <c r="B167" s="72" t="s">
        <v>82</v>
      </c>
      <c r="C167" s="621">
        <f>C168+C169+C170+C171</f>
        <v>800000</v>
      </c>
      <c r="D167" s="594">
        <f t="shared" si="5"/>
        <v>840000</v>
      </c>
      <c r="E167" s="594">
        <f t="shared" si="5"/>
        <v>882000</v>
      </c>
    </row>
    <row r="168" spans="1:5" x14ac:dyDescent="0.35">
      <c r="A168" s="29">
        <v>3111001</v>
      </c>
      <c r="B168" s="69" t="s">
        <v>83</v>
      </c>
      <c r="C168" s="613">
        <v>800000</v>
      </c>
      <c r="D168" s="594">
        <f t="shared" si="5"/>
        <v>840000</v>
      </c>
      <c r="E168" s="594">
        <f t="shared" si="5"/>
        <v>882000</v>
      </c>
    </row>
    <row r="169" spans="1:5" x14ac:dyDescent="0.35">
      <c r="A169" s="29">
        <v>3111002</v>
      </c>
      <c r="B169" s="69" t="s">
        <v>84</v>
      </c>
      <c r="C169" s="601"/>
      <c r="D169" s="594">
        <f t="shared" si="5"/>
        <v>0</v>
      </c>
      <c r="E169" s="594">
        <f t="shared" si="5"/>
        <v>0</v>
      </c>
    </row>
    <row r="170" spans="1:5" x14ac:dyDescent="0.35">
      <c r="A170" s="29">
        <v>3111003</v>
      </c>
      <c r="B170" s="29" t="s">
        <v>336</v>
      </c>
      <c r="C170" s="623"/>
      <c r="D170" s="594">
        <f t="shared" si="5"/>
        <v>0</v>
      </c>
      <c r="E170" s="594">
        <f t="shared" si="5"/>
        <v>0</v>
      </c>
    </row>
    <row r="171" spans="1:5" x14ac:dyDescent="0.35">
      <c r="A171" s="29" t="s">
        <v>280</v>
      </c>
      <c r="B171" s="29" t="s">
        <v>1030</v>
      </c>
      <c r="C171" s="625"/>
      <c r="D171" s="594">
        <f>1.05*C171</f>
        <v>0</v>
      </c>
      <c r="E171" s="594">
        <f>1.05*D171</f>
        <v>0</v>
      </c>
    </row>
    <row r="172" spans="1:5" x14ac:dyDescent="0.3">
      <c r="A172" s="28"/>
      <c r="B172" s="72" t="s">
        <v>87</v>
      </c>
      <c r="C172" s="612">
        <f>C167+C163+C157+C155+C145+C143+C140+C138+C135+C128+C125+C120+C114+C108+C105+C102</f>
        <v>18699996</v>
      </c>
      <c r="D172" s="594">
        <f t="shared" ref="D172:E176" si="6">(1.05*C172)</f>
        <v>19634995.800000001</v>
      </c>
      <c r="E172" s="594">
        <f t="shared" si="6"/>
        <v>20616745.59</v>
      </c>
    </row>
    <row r="173" spans="1:5" ht="45" x14ac:dyDescent="0.35">
      <c r="A173" s="610" t="s">
        <v>0</v>
      </c>
      <c r="B173" s="611" t="s">
        <v>1031</v>
      </c>
      <c r="C173" s="560" t="s">
        <v>1018</v>
      </c>
      <c r="D173" s="560" t="s">
        <v>1019</v>
      </c>
      <c r="E173" s="560" t="s">
        <v>1020</v>
      </c>
    </row>
    <row r="174" spans="1:5" x14ac:dyDescent="0.35">
      <c r="A174" s="29" t="s">
        <v>1024</v>
      </c>
      <c r="B174" s="69" t="s">
        <v>1032</v>
      </c>
      <c r="C174" s="601">
        <v>5000000</v>
      </c>
      <c r="D174" s="594">
        <f t="shared" si="6"/>
        <v>5250000</v>
      </c>
      <c r="E174" s="594">
        <f t="shared" si="6"/>
        <v>5512500</v>
      </c>
    </row>
    <row r="175" spans="1:5" x14ac:dyDescent="0.35">
      <c r="A175" s="29">
        <v>3111002</v>
      </c>
      <c r="B175" s="69" t="s">
        <v>84</v>
      </c>
      <c r="C175" s="601">
        <v>1000000</v>
      </c>
      <c r="D175" s="594">
        <f t="shared" si="6"/>
        <v>1050000</v>
      </c>
      <c r="E175" s="594">
        <f t="shared" si="6"/>
        <v>1102500</v>
      </c>
    </row>
    <row r="176" spans="1:5" x14ac:dyDescent="0.3">
      <c r="A176" s="28"/>
      <c r="B176" s="72" t="s">
        <v>1033</v>
      </c>
      <c r="C176" s="612">
        <f>C174+C175</f>
        <v>6000000</v>
      </c>
      <c r="D176" s="594">
        <f t="shared" si="6"/>
        <v>6300000</v>
      </c>
      <c r="E176" s="594">
        <f t="shared" si="6"/>
        <v>6615000</v>
      </c>
    </row>
    <row r="177" spans="1:5" ht="45" x14ac:dyDescent="0.35">
      <c r="A177" s="610" t="s">
        <v>0</v>
      </c>
      <c r="B177" s="611" t="s">
        <v>1034</v>
      </c>
      <c r="C177" s="560" t="s">
        <v>1018</v>
      </c>
      <c r="D177" s="560" t="s">
        <v>1019</v>
      </c>
      <c r="E177" s="560" t="s">
        <v>1020</v>
      </c>
    </row>
    <row r="178" spans="1:5" x14ac:dyDescent="0.35">
      <c r="A178" s="29">
        <v>2210800</v>
      </c>
      <c r="B178" s="69" t="s">
        <v>48</v>
      </c>
      <c r="C178" s="613">
        <f>C179+C180</f>
        <v>5000000</v>
      </c>
      <c r="D178" s="602">
        <f t="shared" ref="D178:E182" si="7">(1.05*C178)</f>
        <v>5250000</v>
      </c>
      <c r="E178" s="602">
        <f t="shared" si="7"/>
        <v>5512500</v>
      </c>
    </row>
    <row r="179" spans="1:5" x14ac:dyDescent="0.35">
      <c r="A179" s="29" t="s">
        <v>1025</v>
      </c>
      <c r="B179" s="69" t="s">
        <v>695</v>
      </c>
      <c r="C179" s="597">
        <v>2000000</v>
      </c>
      <c r="D179" s="602">
        <f t="shared" si="7"/>
        <v>2100000</v>
      </c>
      <c r="E179" s="602">
        <f t="shared" si="7"/>
        <v>2205000</v>
      </c>
    </row>
    <row r="180" spans="1:5" x14ac:dyDescent="0.35">
      <c r="A180" s="29" t="s">
        <v>1024</v>
      </c>
      <c r="B180" s="69" t="s">
        <v>1032</v>
      </c>
      <c r="C180" s="601">
        <v>3000000</v>
      </c>
      <c r="D180" s="594">
        <f t="shared" si="7"/>
        <v>3150000</v>
      </c>
      <c r="E180" s="594">
        <f t="shared" si="7"/>
        <v>3307500</v>
      </c>
    </row>
    <row r="181" spans="1:5" x14ac:dyDescent="0.3">
      <c r="A181" s="28"/>
      <c r="B181" s="72" t="s">
        <v>1035</v>
      </c>
      <c r="C181" s="612">
        <f>C178</f>
        <v>5000000</v>
      </c>
      <c r="D181" s="594">
        <f t="shared" si="7"/>
        <v>5250000</v>
      </c>
      <c r="E181" s="594">
        <f t="shared" si="7"/>
        <v>5512500</v>
      </c>
    </row>
    <row r="182" spans="1:5" x14ac:dyDescent="0.3">
      <c r="A182" s="28"/>
      <c r="B182" s="28" t="s">
        <v>528</v>
      </c>
      <c r="C182" s="626">
        <f>C172+C176+C181</f>
        <v>29699996</v>
      </c>
      <c r="D182" s="594">
        <f t="shared" si="7"/>
        <v>31184995.800000001</v>
      </c>
      <c r="E182" s="594">
        <f t="shared" si="7"/>
        <v>32744245.590000004</v>
      </c>
    </row>
    <row r="183" spans="1:5" x14ac:dyDescent="0.3">
      <c r="A183" s="28"/>
      <c r="B183" s="28" t="s">
        <v>88</v>
      </c>
      <c r="C183" s="626"/>
      <c r="D183" s="627"/>
      <c r="E183" s="627"/>
    </row>
    <row r="184" spans="1:5" x14ac:dyDescent="0.3">
      <c r="A184" s="28"/>
      <c r="B184" s="28" t="s">
        <v>1036</v>
      </c>
      <c r="C184" s="626"/>
      <c r="D184" s="627"/>
      <c r="E184" s="627"/>
    </row>
    <row r="185" spans="1:5" ht="45" x14ac:dyDescent="0.35">
      <c r="A185" s="620" t="s">
        <v>0</v>
      </c>
      <c r="B185" s="620" t="s">
        <v>530</v>
      </c>
      <c r="C185" s="560" t="s">
        <v>1018</v>
      </c>
      <c r="D185" s="560" t="s">
        <v>1019</v>
      </c>
      <c r="E185" s="560" t="s">
        <v>1020</v>
      </c>
    </row>
    <row r="186" spans="1:5" x14ac:dyDescent="0.35">
      <c r="A186" s="29">
        <v>2210100</v>
      </c>
      <c r="B186" s="72" t="s">
        <v>23</v>
      </c>
      <c r="C186" s="628">
        <f>C187+C188</f>
        <v>100000</v>
      </c>
      <c r="D186" s="594">
        <f t="shared" ref="D186:E230" si="8">1.05*C186</f>
        <v>105000</v>
      </c>
      <c r="E186" s="594">
        <f t="shared" si="8"/>
        <v>110250</v>
      </c>
    </row>
    <row r="187" spans="1:5" x14ac:dyDescent="0.35">
      <c r="A187" s="29">
        <v>2210101</v>
      </c>
      <c r="B187" s="69" t="s">
        <v>24</v>
      </c>
      <c r="C187" s="629">
        <v>50000</v>
      </c>
      <c r="D187" s="594">
        <f t="shared" si="8"/>
        <v>52500</v>
      </c>
      <c r="E187" s="594">
        <f t="shared" si="8"/>
        <v>55125</v>
      </c>
    </row>
    <row r="188" spans="1:5" x14ac:dyDescent="0.35">
      <c r="A188" s="29">
        <v>2210102</v>
      </c>
      <c r="B188" s="69" t="s">
        <v>25</v>
      </c>
      <c r="C188" s="629">
        <v>50000</v>
      </c>
      <c r="D188" s="594">
        <f t="shared" si="8"/>
        <v>52500</v>
      </c>
      <c r="E188" s="594">
        <f t="shared" si="8"/>
        <v>55125</v>
      </c>
    </row>
    <row r="189" spans="1:5" x14ac:dyDescent="0.35">
      <c r="A189" s="29">
        <v>2210200</v>
      </c>
      <c r="B189" s="72" t="s">
        <v>26</v>
      </c>
      <c r="C189" s="628">
        <f>C190+C191</f>
        <v>500000</v>
      </c>
      <c r="D189" s="594">
        <f t="shared" si="8"/>
        <v>525000</v>
      </c>
      <c r="E189" s="594">
        <f t="shared" si="8"/>
        <v>551250</v>
      </c>
    </row>
    <row r="190" spans="1:5" x14ac:dyDescent="0.35">
      <c r="A190" s="29">
        <v>2210201</v>
      </c>
      <c r="B190" s="69" t="s">
        <v>27</v>
      </c>
      <c r="C190" s="629">
        <v>500000</v>
      </c>
      <c r="D190" s="594">
        <f t="shared" si="8"/>
        <v>525000</v>
      </c>
      <c r="E190" s="594">
        <f t="shared" si="8"/>
        <v>551250</v>
      </c>
    </row>
    <row r="191" spans="1:5" x14ac:dyDescent="0.35">
      <c r="A191" s="29">
        <v>2210202</v>
      </c>
      <c r="B191" s="69" t="s">
        <v>29</v>
      </c>
      <c r="C191" s="630"/>
      <c r="D191" s="594">
        <f t="shared" si="8"/>
        <v>0</v>
      </c>
      <c r="E191" s="594">
        <f t="shared" si="8"/>
        <v>0</v>
      </c>
    </row>
    <row r="192" spans="1:5" x14ac:dyDescent="0.35">
      <c r="A192" s="29">
        <v>2210300</v>
      </c>
      <c r="B192" s="707" t="s">
        <v>30</v>
      </c>
      <c r="C192" s="628">
        <f>C193+C194+C195</f>
        <v>5000000</v>
      </c>
      <c r="D192" s="594">
        <f t="shared" si="8"/>
        <v>5250000</v>
      </c>
      <c r="E192" s="594">
        <f t="shared" si="8"/>
        <v>5512500</v>
      </c>
    </row>
    <row r="193" spans="1:5" x14ac:dyDescent="0.35">
      <c r="A193" s="29">
        <v>2210301</v>
      </c>
      <c r="B193" s="69" t="s">
        <v>529</v>
      </c>
      <c r="C193" s="631">
        <v>1000000</v>
      </c>
      <c r="D193" s="602">
        <f t="shared" si="8"/>
        <v>1050000</v>
      </c>
      <c r="E193" s="602">
        <f t="shared" si="8"/>
        <v>1102500</v>
      </c>
    </row>
    <row r="194" spans="1:5" x14ac:dyDescent="0.35">
      <c r="A194" s="29">
        <v>2210302</v>
      </c>
      <c r="B194" s="69" t="s">
        <v>681</v>
      </c>
      <c r="C194" s="631">
        <v>2000000</v>
      </c>
      <c r="D194" s="602">
        <f t="shared" si="8"/>
        <v>2100000</v>
      </c>
      <c r="E194" s="602">
        <f t="shared" si="8"/>
        <v>2205000</v>
      </c>
    </row>
    <row r="195" spans="1:5" x14ac:dyDescent="0.35">
      <c r="A195" s="29">
        <v>2210303</v>
      </c>
      <c r="B195" s="69" t="s">
        <v>32</v>
      </c>
      <c r="C195" s="629">
        <v>2000000</v>
      </c>
      <c r="D195" s="602">
        <f t="shared" si="8"/>
        <v>2100000</v>
      </c>
      <c r="E195" s="602">
        <f t="shared" si="8"/>
        <v>2205000</v>
      </c>
    </row>
    <row r="196" spans="1:5" x14ac:dyDescent="0.35">
      <c r="A196" s="29" t="s">
        <v>117</v>
      </c>
      <c r="B196" s="28" t="s">
        <v>118</v>
      </c>
      <c r="C196" s="632">
        <f>C197+C198+C199+C200+C201</f>
        <v>0</v>
      </c>
      <c r="D196" s="594">
        <f t="shared" si="8"/>
        <v>0</v>
      </c>
      <c r="E196" s="594">
        <f t="shared" si="8"/>
        <v>0</v>
      </c>
    </row>
    <row r="197" spans="1:5" x14ac:dyDescent="0.35">
      <c r="A197" s="29" t="s">
        <v>119</v>
      </c>
      <c r="B197" s="29" t="s">
        <v>120</v>
      </c>
      <c r="C197" s="625"/>
      <c r="D197" s="594">
        <f t="shared" si="8"/>
        <v>0</v>
      </c>
      <c r="E197" s="594">
        <f t="shared" si="8"/>
        <v>0</v>
      </c>
    </row>
    <row r="198" spans="1:5" x14ac:dyDescent="0.35">
      <c r="A198" s="29" t="s">
        <v>197</v>
      </c>
      <c r="B198" s="29" t="s">
        <v>198</v>
      </c>
      <c r="C198" s="630"/>
      <c r="D198" s="594">
        <f t="shared" si="8"/>
        <v>0</v>
      </c>
      <c r="E198" s="594">
        <f t="shared" si="8"/>
        <v>0</v>
      </c>
    </row>
    <row r="199" spans="1:5" x14ac:dyDescent="0.35">
      <c r="A199" s="29" t="s">
        <v>121</v>
      </c>
      <c r="B199" s="29" t="s">
        <v>115</v>
      </c>
      <c r="C199" s="625"/>
      <c r="D199" s="594">
        <f t="shared" si="8"/>
        <v>0</v>
      </c>
      <c r="E199" s="594">
        <f t="shared" si="8"/>
        <v>0</v>
      </c>
    </row>
    <row r="200" spans="1:5" x14ac:dyDescent="0.35">
      <c r="A200" s="29" t="s">
        <v>393</v>
      </c>
      <c r="B200" s="29" t="s">
        <v>391</v>
      </c>
      <c r="C200" s="630"/>
      <c r="D200" s="594">
        <f t="shared" si="8"/>
        <v>0</v>
      </c>
      <c r="E200" s="594">
        <f t="shared" si="8"/>
        <v>0</v>
      </c>
    </row>
    <row r="201" spans="1:5" x14ac:dyDescent="0.35">
      <c r="A201" s="29" t="s">
        <v>395</v>
      </c>
      <c r="B201" s="29" t="s">
        <v>396</v>
      </c>
      <c r="C201" s="633"/>
      <c r="D201" s="594">
        <f t="shared" si="8"/>
        <v>0</v>
      </c>
      <c r="E201" s="594">
        <f t="shared" si="8"/>
        <v>0</v>
      </c>
    </row>
    <row r="202" spans="1:5" x14ac:dyDescent="0.35">
      <c r="A202" s="29">
        <v>2210500</v>
      </c>
      <c r="B202" s="707" t="s">
        <v>38</v>
      </c>
      <c r="C202" s="628">
        <f>C203+C204+C205+C206</f>
        <v>50000</v>
      </c>
      <c r="D202" s="594">
        <f t="shared" si="8"/>
        <v>52500</v>
      </c>
      <c r="E202" s="594">
        <f t="shared" si="8"/>
        <v>55125</v>
      </c>
    </row>
    <row r="203" spans="1:5" x14ac:dyDescent="0.35">
      <c r="A203" s="29" t="s">
        <v>200</v>
      </c>
      <c r="B203" s="29" t="s">
        <v>201</v>
      </c>
      <c r="C203" s="630"/>
      <c r="D203" s="594">
        <f t="shared" si="8"/>
        <v>0</v>
      </c>
      <c r="E203" s="594">
        <f t="shared" si="8"/>
        <v>0</v>
      </c>
    </row>
    <row r="204" spans="1:5" x14ac:dyDescent="0.35">
      <c r="A204" s="29">
        <v>2210503</v>
      </c>
      <c r="B204" s="69" t="s">
        <v>40</v>
      </c>
      <c r="C204" s="629">
        <v>50000</v>
      </c>
      <c r="D204" s="602">
        <f t="shared" si="8"/>
        <v>52500</v>
      </c>
      <c r="E204" s="602">
        <f t="shared" si="8"/>
        <v>55125</v>
      </c>
    </row>
    <row r="205" spans="1:5" x14ac:dyDescent="0.35">
      <c r="A205" s="29" t="s">
        <v>124</v>
      </c>
      <c r="B205" s="29" t="s">
        <v>125</v>
      </c>
      <c r="C205" s="625"/>
      <c r="D205" s="594">
        <f t="shared" si="8"/>
        <v>0</v>
      </c>
      <c r="E205" s="594">
        <f t="shared" si="8"/>
        <v>0</v>
      </c>
    </row>
    <row r="206" spans="1:5" x14ac:dyDescent="0.35">
      <c r="A206" s="29">
        <v>2210505</v>
      </c>
      <c r="B206" s="69" t="s">
        <v>41</v>
      </c>
      <c r="C206" s="633"/>
      <c r="D206" s="594">
        <f t="shared" si="8"/>
        <v>0</v>
      </c>
      <c r="E206" s="594">
        <f t="shared" si="8"/>
        <v>0</v>
      </c>
    </row>
    <row r="207" spans="1:5" x14ac:dyDescent="0.35">
      <c r="A207" s="29">
        <v>2210600</v>
      </c>
      <c r="B207" s="707" t="s">
        <v>42</v>
      </c>
      <c r="C207" s="628">
        <f>C208+C209</f>
        <v>0</v>
      </c>
      <c r="D207" s="594">
        <f t="shared" si="8"/>
        <v>0</v>
      </c>
      <c r="E207" s="594">
        <f t="shared" si="8"/>
        <v>0</v>
      </c>
    </row>
    <row r="208" spans="1:5" x14ac:dyDescent="0.35">
      <c r="A208" s="29">
        <v>2210603</v>
      </c>
      <c r="B208" s="69" t="s">
        <v>43</v>
      </c>
      <c r="C208" s="630"/>
      <c r="D208" s="594">
        <f t="shared" si="8"/>
        <v>0</v>
      </c>
      <c r="E208" s="594">
        <f t="shared" si="8"/>
        <v>0</v>
      </c>
    </row>
    <row r="209" spans="1:5" x14ac:dyDescent="0.35">
      <c r="A209" s="29">
        <v>2210604</v>
      </c>
      <c r="B209" s="708" t="s">
        <v>44</v>
      </c>
      <c r="C209" s="633"/>
      <c r="D209" s="594">
        <f t="shared" si="8"/>
        <v>0</v>
      </c>
      <c r="E209" s="594">
        <f t="shared" si="8"/>
        <v>0</v>
      </c>
    </row>
    <row r="210" spans="1:5" x14ac:dyDescent="0.35">
      <c r="A210" s="29">
        <v>2210700</v>
      </c>
      <c r="B210" s="707" t="s">
        <v>45</v>
      </c>
      <c r="C210" s="628">
        <f>C211+C212+C213+C214+C215</f>
        <v>2000000</v>
      </c>
      <c r="D210" s="594">
        <f t="shared" si="8"/>
        <v>2100000</v>
      </c>
      <c r="E210" s="594">
        <f t="shared" si="8"/>
        <v>2205000</v>
      </c>
    </row>
    <row r="211" spans="1:5" x14ac:dyDescent="0.35">
      <c r="A211" s="29">
        <v>2210710</v>
      </c>
      <c r="B211" s="69" t="s">
        <v>789</v>
      </c>
      <c r="C211" s="631">
        <v>1000000</v>
      </c>
      <c r="D211" s="602">
        <f t="shared" si="8"/>
        <v>1050000</v>
      </c>
      <c r="E211" s="602">
        <f t="shared" si="8"/>
        <v>1102500</v>
      </c>
    </row>
    <row r="212" spans="1:5" x14ac:dyDescent="0.35">
      <c r="A212" s="624">
        <v>2210711</v>
      </c>
      <c r="B212" s="29" t="s">
        <v>47</v>
      </c>
      <c r="C212" s="629">
        <v>1000000</v>
      </c>
      <c r="D212" s="602">
        <f t="shared" si="8"/>
        <v>1050000</v>
      </c>
      <c r="E212" s="602">
        <f t="shared" si="8"/>
        <v>1102500</v>
      </c>
    </row>
    <row r="213" spans="1:5" x14ac:dyDescent="0.35">
      <c r="A213" s="624" t="s">
        <v>412</v>
      </c>
      <c r="B213" s="29" t="s">
        <v>398</v>
      </c>
      <c r="C213" s="633"/>
      <c r="D213" s="602">
        <f t="shared" si="8"/>
        <v>0</v>
      </c>
      <c r="E213" s="602">
        <f t="shared" si="8"/>
        <v>0</v>
      </c>
    </row>
    <row r="214" spans="1:5" x14ac:dyDescent="0.35">
      <c r="A214" s="339" t="s">
        <v>332</v>
      </c>
      <c r="B214" s="76" t="s">
        <v>333</v>
      </c>
      <c r="C214" s="633"/>
      <c r="D214" s="602">
        <f t="shared" si="8"/>
        <v>0</v>
      </c>
      <c r="E214" s="602">
        <f t="shared" si="8"/>
        <v>0</v>
      </c>
    </row>
    <row r="215" spans="1:5" x14ac:dyDescent="0.35">
      <c r="A215" s="624" t="s">
        <v>312</v>
      </c>
      <c r="B215" s="29" t="s">
        <v>46</v>
      </c>
      <c r="C215" s="633"/>
      <c r="D215" s="594">
        <f t="shared" si="8"/>
        <v>0</v>
      </c>
      <c r="E215" s="594">
        <f t="shared" si="8"/>
        <v>0</v>
      </c>
    </row>
    <row r="216" spans="1:5" x14ac:dyDescent="0.35">
      <c r="A216" s="29">
        <v>2210800</v>
      </c>
      <c r="B216" s="707" t="s">
        <v>48</v>
      </c>
      <c r="C216" s="628">
        <f>C217+C218</f>
        <v>6000000</v>
      </c>
      <c r="D216" s="594">
        <f t="shared" si="8"/>
        <v>6300000</v>
      </c>
      <c r="E216" s="594">
        <f t="shared" si="8"/>
        <v>6615000</v>
      </c>
    </row>
    <row r="217" spans="1:5" x14ac:dyDescent="0.35">
      <c r="A217" s="29">
        <v>2210801</v>
      </c>
      <c r="B217" s="69" t="s">
        <v>49</v>
      </c>
      <c r="C217" s="629">
        <v>1000000</v>
      </c>
      <c r="D217" s="602">
        <f t="shared" si="8"/>
        <v>1050000</v>
      </c>
      <c r="E217" s="602">
        <f t="shared" si="8"/>
        <v>1102500</v>
      </c>
    </row>
    <row r="218" spans="1:5" x14ac:dyDescent="0.35">
      <c r="A218" s="29">
        <v>2210802</v>
      </c>
      <c r="B218" s="69" t="s">
        <v>421</v>
      </c>
      <c r="C218" s="629">
        <f>-2000000+7000000</f>
        <v>5000000</v>
      </c>
      <c r="D218" s="602">
        <f t="shared" si="8"/>
        <v>5250000</v>
      </c>
      <c r="E218" s="602">
        <f t="shared" si="8"/>
        <v>5512500</v>
      </c>
    </row>
    <row r="219" spans="1:5" x14ac:dyDescent="0.35">
      <c r="A219" s="29">
        <v>2211000</v>
      </c>
      <c r="B219" s="72" t="s">
        <v>51</v>
      </c>
      <c r="C219" s="628">
        <f>C220</f>
        <v>500000</v>
      </c>
      <c r="D219" s="594">
        <f t="shared" si="8"/>
        <v>525000</v>
      </c>
      <c r="E219" s="594">
        <f t="shared" si="8"/>
        <v>551250</v>
      </c>
    </row>
    <row r="220" spans="1:5" x14ac:dyDescent="0.35">
      <c r="A220" s="29">
        <v>2211009</v>
      </c>
      <c r="B220" s="69" t="s">
        <v>52</v>
      </c>
      <c r="C220" s="633">
        <v>500000</v>
      </c>
      <c r="D220" s="594">
        <f t="shared" si="8"/>
        <v>525000</v>
      </c>
      <c r="E220" s="594">
        <f t="shared" si="8"/>
        <v>551250</v>
      </c>
    </row>
    <row r="221" spans="1:5" x14ac:dyDescent="0.35">
      <c r="A221" s="29">
        <v>2211100</v>
      </c>
      <c r="B221" s="72" t="s">
        <v>56</v>
      </c>
      <c r="C221" s="634">
        <f>C222+C223</f>
        <v>550000</v>
      </c>
      <c r="D221" s="594">
        <f t="shared" si="8"/>
        <v>577500</v>
      </c>
      <c r="E221" s="594">
        <f t="shared" si="8"/>
        <v>606375</v>
      </c>
    </row>
    <row r="222" spans="1:5" x14ac:dyDescent="0.35">
      <c r="A222" s="29">
        <v>2211101</v>
      </c>
      <c r="B222" s="69" t="s">
        <v>695</v>
      </c>
      <c r="C222" s="629">
        <v>500000</v>
      </c>
      <c r="D222" s="602">
        <f t="shared" si="8"/>
        <v>525000</v>
      </c>
      <c r="E222" s="602">
        <f t="shared" si="8"/>
        <v>551250</v>
      </c>
    </row>
    <row r="223" spans="1:5" x14ac:dyDescent="0.35">
      <c r="A223" s="29">
        <v>2211103</v>
      </c>
      <c r="B223" s="69" t="s">
        <v>59</v>
      </c>
      <c r="C223" s="629">
        <v>50000</v>
      </c>
      <c r="D223" s="602">
        <f t="shared" si="8"/>
        <v>52500</v>
      </c>
      <c r="E223" s="602">
        <f t="shared" si="8"/>
        <v>55125</v>
      </c>
    </row>
    <row r="224" spans="1:5" x14ac:dyDescent="0.35">
      <c r="A224" s="29">
        <v>2211200</v>
      </c>
      <c r="B224" s="72" t="s">
        <v>60</v>
      </c>
      <c r="C224" s="628">
        <f>C225</f>
        <v>1000000</v>
      </c>
      <c r="D224" s="594">
        <f t="shared" si="8"/>
        <v>1050000</v>
      </c>
      <c r="E224" s="594">
        <f t="shared" si="8"/>
        <v>1102500</v>
      </c>
    </row>
    <row r="225" spans="1:5" x14ac:dyDescent="0.35">
      <c r="A225" s="29">
        <v>2211201</v>
      </c>
      <c r="B225" s="69" t="s">
        <v>61</v>
      </c>
      <c r="C225" s="625">
        <v>1000000</v>
      </c>
      <c r="D225" s="602">
        <f t="shared" si="8"/>
        <v>1050000</v>
      </c>
      <c r="E225" s="602">
        <f t="shared" si="8"/>
        <v>1102500</v>
      </c>
    </row>
    <row r="226" spans="1:5" x14ac:dyDescent="0.35">
      <c r="A226" s="29">
        <v>2211300</v>
      </c>
      <c r="B226" s="72" t="s">
        <v>62</v>
      </c>
      <c r="C226" s="628">
        <f>C227+C228+C229+C230+C232+C233+C234+C235+C236+C231</f>
        <v>35318444</v>
      </c>
      <c r="D226" s="594">
        <f t="shared" si="8"/>
        <v>37084366.200000003</v>
      </c>
      <c r="E226" s="594">
        <f t="shared" si="8"/>
        <v>38938584.510000005</v>
      </c>
    </row>
    <row r="227" spans="1:5" x14ac:dyDescent="0.35">
      <c r="A227" s="29">
        <v>2211309</v>
      </c>
      <c r="B227" s="69" t="s">
        <v>416</v>
      </c>
      <c r="C227" s="633"/>
      <c r="D227" s="594">
        <f t="shared" si="8"/>
        <v>0</v>
      </c>
      <c r="E227" s="594">
        <f t="shared" si="8"/>
        <v>0</v>
      </c>
    </row>
    <row r="228" spans="1:5" x14ac:dyDescent="0.35">
      <c r="A228" s="29">
        <v>2211305</v>
      </c>
      <c r="B228" s="69" t="s">
        <v>64</v>
      </c>
      <c r="C228" s="633"/>
      <c r="D228" s="594">
        <f t="shared" si="8"/>
        <v>0</v>
      </c>
      <c r="E228" s="594">
        <f t="shared" si="8"/>
        <v>0</v>
      </c>
    </row>
    <row r="229" spans="1:5" x14ac:dyDescent="0.35">
      <c r="A229" s="29">
        <v>2211306</v>
      </c>
      <c r="B229" s="69" t="s">
        <v>65</v>
      </c>
      <c r="C229" s="633">
        <v>50000</v>
      </c>
      <c r="D229" s="594">
        <f t="shared" si="8"/>
        <v>52500</v>
      </c>
      <c r="E229" s="594">
        <f t="shared" si="8"/>
        <v>55125</v>
      </c>
    </row>
    <row r="230" spans="1:5" x14ac:dyDescent="0.35">
      <c r="A230" s="29">
        <v>2211308</v>
      </c>
      <c r="B230" s="69" t="s">
        <v>69</v>
      </c>
      <c r="C230" s="680">
        <v>10000000</v>
      </c>
      <c r="D230" s="602">
        <f t="shared" si="8"/>
        <v>10500000</v>
      </c>
      <c r="E230" s="602">
        <f t="shared" si="8"/>
        <v>11025000</v>
      </c>
    </row>
    <row r="231" spans="1:5" x14ac:dyDescent="0.35">
      <c r="A231" s="29">
        <v>2410104</v>
      </c>
      <c r="B231" s="69" t="s">
        <v>268</v>
      </c>
      <c r="C231" s="680">
        <f>20868444</f>
        <v>20868444</v>
      </c>
      <c r="D231" s="633">
        <v>5031308</v>
      </c>
      <c r="E231" s="633">
        <v>5031309</v>
      </c>
    </row>
    <row r="232" spans="1:5" x14ac:dyDescent="0.35">
      <c r="A232" s="29">
        <v>2210904</v>
      </c>
      <c r="B232" s="708" t="s">
        <v>66</v>
      </c>
      <c r="C232" s="633">
        <v>200000</v>
      </c>
      <c r="D232" s="594">
        <f t="shared" ref="D232:E250" si="9">1.05*C232</f>
        <v>210000</v>
      </c>
      <c r="E232" s="594">
        <f t="shared" si="9"/>
        <v>220500</v>
      </c>
    </row>
    <row r="233" spans="1:5" x14ac:dyDescent="0.35">
      <c r="A233" s="29">
        <v>2410104</v>
      </c>
      <c r="B233" s="69" t="s">
        <v>268</v>
      </c>
      <c r="C233" s="625"/>
      <c r="D233" s="594">
        <f t="shared" si="9"/>
        <v>0</v>
      </c>
      <c r="E233" s="594">
        <f t="shared" si="9"/>
        <v>0</v>
      </c>
    </row>
    <row r="234" spans="1:5" x14ac:dyDescent="0.35">
      <c r="A234" s="29"/>
      <c r="B234" s="69" t="s">
        <v>696</v>
      </c>
      <c r="C234" s="625">
        <v>1200000</v>
      </c>
      <c r="D234" s="594">
        <f t="shared" si="9"/>
        <v>1260000</v>
      </c>
      <c r="E234" s="594">
        <f t="shared" si="9"/>
        <v>1323000</v>
      </c>
    </row>
    <row r="235" spans="1:5" x14ac:dyDescent="0.35">
      <c r="A235" s="29">
        <v>3110701</v>
      </c>
      <c r="B235" s="69" t="s">
        <v>67</v>
      </c>
      <c r="C235" s="633"/>
      <c r="D235" s="594">
        <f t="shared" si="9"/>
        <v>0</v>
      </c>
      <c r="E235" s="594">
        <f t="shared" si="9"/>
        <v>0</v>
      </c>
    </row>
    <row r="236" spans="1:5" x14ac:dyDescent="0.35">
      <c r="A236" s="29">
        <v>2211310</v>
      </c>
      <c r="B236" s="69" t="s">
        <v>70</v>
      </c>
      <c r="C236" s="633">
        <f>5000000-2000000</f>
        <v>3000000</v>
      </c>
      <c r="D236" s="594">
        <f t="shared" si="9"/>
        <v>3150000</v>
      </c>
      <c r="E236" s="594">
        <f t="shared" si="9"/>
        <v>3307500</v>
      </c>
    </row>
    <row r="237" spans="1:5" x14ac:dyDescent="0.35">
      <c r="A237" s="29">
        <v>2220100</v>
      </c>
      <c r="B237" s="72" t="s">
        <v>71</v>
      </c>
      <c r="C237" s="628">
        <f>C238</f>
        <v>300000</v>
      </c>
      <c r="D237" s="594">
        <f t="shared" si="9"/>
        <v>315000</v>
      </c>
      <c r="E237" s="594">
        <f t="shared" si="9"/>
        <v>330750</v>
      </c>
    </row>
    <row r="238" spans="1:5" x14ac:dyDescent="0.35">
      <c r="A238" s="29">
        <v>2220101</v>
      </c>
      <c r="B238" s="69" t="s">
        <v>72</v>
      </c>
      <c r="C238" s="625">
        <v>300000</v>
      </c>
      <c r="D238" s="602">
        <f t="shared" si="9"/>
        <v>315000</v>
      </c>
      <c r="E238" s="602">
        <f t="shared" si="9"/>
        <v>330750</v>
      </c>
    </row>
    <row r="239" spans="1:5" x14ac:dyDescent="0.35">
      <c r="A239" s="29">
        <v>2220200</v>
      </c>
      <c r="B239" s="72" t="s">
        <v>73</v>
      </c>
      <c r="C239" s="628">
        <f>C240+C241+C242+C243+C244</f>
        <v>200000</v>
      </c>
      <c r="D239" s="594">
        <f t="shared" si="9"/>
        <v>210000</v>
      </c>
      <c r="E239" s="594">
        <f t="shared" si="9"/>
        <v>220500</v>
      </c>
    </row>
    <row r="240" spans="1:5" x14ac:dyDescent="0.35">
      <c r="A240" s="29">
        <v>2220201</v>
      </c>
      <c r="B240" s="69" t="s">
        <v>74</v>
      </c>
      <c r="C240" s="633"/>
      <c r="D240" s="594">
        <f t="shared" si="9"/>
        <v>0</v>
      </c>
      <c r="E240" s="594">
        <f t="shared" si="9"/>
        <v>0</v>
      </c>
    </row>
    <row r="241" spans="1:5" x14ac:dyDescent="0.35">
      <c r="A241" s="29">
        <v>2220202</v>
      </c>
      <c r="B241" s="69" t="s">
        <v>75</v>
      </c>
      <c r="C241" s="625"/>
      <c r="D241" s="594">
        <f t="shared" si="9"/>
        <v>0</v>
      </c>
      <c r="E241" s="594">
        <f t="shared" si="9"/>
        <v>0</v>
      </c>
    </row>
    <row r="242" spans="1:5" x14ac:dyDescent="0.35">
      <c r="A242" s="29">
        <v>2220204</v>
      </c>
      <c r="B242" s="69" t="s">
        <v>335</v>
      </c>
      <c r="C242" s="633"/>
      <c r="D242" s="594">
        <f t="shared" si="9"/>
        <v>0</v>
      </c>
      <c r="E242" s="594">
        <f t="shared" si="9"/>
        <v>0</v>
      </c>
    </row>
    <row r="243" spans="1:5" x14ac:dyDescent="0.35">
      <c r="A243" s="29">
        <v>2220205</v>
      </c>
      <c r="B243" s="69" t="s">
        <v>444</v>
      </c>
      <c r="C243" s="635"/>
      <c r="D243" s="594">
        <f t="shared" si="9"/>
        <v>0</v>
      </c>
      <c r="E243" s="594">
        <f t="shared" si="9"/>
        <v>0</v>
      </c>
    </row>
    <row r="244" spans="1:5" x14ac:dyDescent="0.35">
      <c r="A244" s="29">
        <v>2220210</v>
      </c>
      <c r="B244" s="69" t="s">
        <v>1021</v>
      </c>
      <c r="C244" s="625">
        <v>200000</v>
      </c>
      <c r="D244" s="594">
        <f t="shared" si="9"/>
        <v>210000</v>
      </c>
      <c r="E244" s="594">
        <f t="shared" si="9"/>
        <v>220500</v>
      </c>
    </row>
    <row r="245" spans="1:5" x14ac:dyDescent="0.35">
      <c r="A245" s="29">
        <v>3111000</v>
      </c>
      <c r="B245" s="72" t="s">
        <v>82</v>
      </c>
      <c r="C245" s="628">
        <f>C246+C247+C248+C249</f>
        <v>682408</v>
      </c>
      <c r="D245" s="594">
        <f t="shared" si="9"/>
        <v>716528.4</v>
      </c>
      <c r="E245" s="594">
        <f t="shared" si="9"/>
        <v>752354.82000000007</v>
      </c>
    </row>
    <row r="246" spans="1:5" x14ac:dyDescent="0.35">
      <c r="A246" s="29">
        <v>3111001</v>
      </c>
      <c r="B246" s="69" t="s">
        <v>83</v>
      </c>
      <c r="C246" s="625">
        <v>400000</v>
      </c>
      <c r="D246" s="602">
        <f t="shared" si="9"/>
        <v>420000</v>
      </c>
      <c r="E246" s="602">
        <f t="shared" si="9"/>
        <v>441000</v>
      </c>
    </row>
    <row r="247" spans="1:5" x14ac:dyDescent="0.35">
      <c r="A247" s="29">
        <v>3111002</v>
      </c>
      <c r="B247" s="69" t="s">
        <v>84</v>
      </c>
      <c r="C247" s="630">
        <v>282408</v>
      </c>
      <c r="D247" s="602">
        <f t="shared" si="9"/>
        <v>296528.40000000002</v>
      </c>
      <c r="E247" s="602">
        <f t="shared" si="9"/>
        <v>311354.82000000007</v>
      </c>
    </row>
    <row r="248" spans="1:5" x14ac:dyDescent="0.35">
      <c r="A248" s="29">
        <v>3111003</v>
      </c>
      <c r="B248" s="29" t="s">
        <v>336</v>
      </c>
      <c r="C248" s="633"/>
      <c r="D248" s="594">
        <f t="shared" si="9"/>
        <v>0</v>
      </c>
      <c r="E248" s="594">
        <f t="shared" si="9"/>
        <v>0</v>
      </c>
    </row>
    <row r="249" spans="1:5" x14ac:dyDescent="0.35">
      <c r="A249" s="29" t="s">
        <v>280</v>
      </c>
      <c r="B249" s="29" t="s">
        <v>281</v>
      </c>
      <c r="C249" s="625"/>
      <c r="D249" s="594">
        <f t="shared" si="9"/>
        <v>0</v>
      </c>
      <c r="E249" s="594">
        <f t="shared" si="9"/>
        <v>0</v>
      </c>
    </row>
    <row r="250" spans="1:5" x14ac:dyDescent="0.3">
      <c r="A250" s="28"/>
      <c r="B250" s="72" t="s">
        <v>1037</v>
      </c>
      <c r="C250" s="632">
        <f>C245+C239+C237+C226+C224+C221+C219+C216+C210+C207+C202+C196+C192+C189+C186</f>
        <v>52200852</v>
      </c>
      <c r="D250" s="594">
        <f t="shared" si="9"/>
        <v>54810894.600000001</v>
      </c>
      <c r="E250" s="594">
        <f t="shared" si="9"/>
        <v>57551439.330000006</v>
      </c>
    </row>
    <row r="251" spans="1:5" x14ac:dyDescent="0.35">
      <c r="A251" s="705"/>
      <c r="B251" s="705" t="s">
        <v>1277</v>
      </c>
      <c r="C251" s="706">
        <f>C250+C182+C99</f>
        <v>998557576.45000005</v>
      </c>
      <c r="D251" s="706">
        <f t="shared" ref="D251:E251" si="10">D250+D182+D99</f>
        <v>1048485455.2725</v>
      </c>
      <c r="E251" s="706">
        <f t="shared" si="10"/>
        <v>1100909728.0361252</v>
      </c>
    </row>
    <row r="252" spans="1:5" x14ac:dyDescent="0.35">
      <c r="A252" s="705"/>
      <c r="B252" s="705" t="s">
        <v>1193</v>
      </c>
      <c r="C252" s="706">
        <f>'Local Rev.'!D114</f>
        <v>16710033.646745749</v>
      </c>
      <c r="D252" s="706">
        <f>1.05*C252</f>
        <v>17545535.329083037</v>
      </c>
      <c r="E252" s="706">
        <f>1.05*D252</f>
        <v>18422812.095537189</v>
      </c>
    </row>
    <row r="253" spans="1:5" x14ac:dyDescent="0.35">
      <c r="A253" s="705"/>
      <c r="B253" s="705" t="s">
        <v>1278</v>
      </c>
      <c r="C253" s="706">
        <f>C251-C252</f>
        <v>981847542.80325425</v>
      </c>
      <c r="D253" s="706">
        <f t="shared" ref="D253:E253" si="11">D251-D252</f>
        <v>1030939919.943417</v>
      </c>
      <c r="E253" s="706">
        <f t="shared" si="11"/>
        <v>1082486915.940588</v>
      </c>
    </row>
  </sheetData>
  <protectedRanges>
    <protectedRange password="C43E" sqref="C12" name="Range1_19_1_1_1_1_1_2"/>
    <protectedRange password="C43E" sqref="C20:C23" name="Range1_22_1_1_1_1_1_2"/>
    <protectedRange password="C43E" sqref="C63" name="Range1_32_1_1_1_1_1_2"/>
    <protectedRange password="C43E" sqref="C66" name="Range1_33_1_1_1_1_1_2"/>
    <protectedRange password="C43E" sqref="C68" name="Range1_34_1_1_1_1_1_2"/>
    <protectedRange password="C43E" sqref="A78:B78" name="Range1_36_1_1_1_1_1_2"/>
    <protectedRange password="C43E" sqref="C260 C256" name="Range1_4_1_1_1_1_2_1_2"/>
    <protectedRange password="C43E" sqref="C263:C265" name="Range1_5_1_1_1_1_2_1_2"/>
    <protectedRange password="C43E" sqref="C268" name="Range1_6_1_1_1_1_2_1_2"/>
    <protectedRange password="C43E" sqref="C272" name="Range1_7_1_1_1_1_2_1_2"/>
    <protectedRange password="C43E" sqref="C279" name="Range1_8_1_1_1_1_2_1_2"/>
    <protectedRange password="C43E" sqref="C286" name="Range1_9_1_1_1_1_2_1_2"/>
    <protectedRange password="C43E" sqref="C300" name="Range1_13_1_1_1_1_2_1_2"/>
    <protectedRange password="C43E" sqref="C303" name="Range1_14_1_1_1_1_2_1_2"/>
    <protectedRange password="C43E" sqref="C309" name="Range1_15_1_1_1_1_2_1_2"/>
    <protectedRange sqref="C107" name="Range1_1_1_1_1_1_2_1"/>
    <protectedRange sqref="C115:C118" name="Range1_4_1_1_1_1_2_1"/>
    <protectedRange sqref="C121" name="Range1_5_1_1_1_1_2_1"/>
    <protectedRange sqref="C126" name="Range1_6_1_1_1_1_2_1"/>
    <protectedRange sqref="C159" name="Range1_13_1_1_1_1_2_1"/>
    <protectedRange sqref="C168" name="Range1_15_1_1_1_1_2_1"/>
    <protectedRange sqref="C192" name="Range1_4_1_1_1_1_2_1_2_1"/>
    <protectedRange sqref="C197:C199" name="Range1_5_1_1_1_1_2_1_2_1"/>
    <protectedRange sqref="C202" name="Range1_6_1_1_1_1_2_1_2_1"/>
    <protectedRange sqref="C206" name="Range1_7_1_1_1_1_2_1_2_1"/>
    <protectedRange sqref="C213" name="Range1_8_1_1_1_1_2_1_2_1"/>
    <protectedRange sqref="C220" name="Range1_9_1_1_1_1_2_1_2_1"/>
    <protectedRange sqref="C235" name="Range1_13_1_1_1_1_2_1_2_1"/>
    <protectedRange sqref="C238" name="Range1_14_1_1_1_1_2_1_2_1"/>
    <protectedRange sqref="C244" name="Range1_15_1_1_1_1_2_1_2_1"/>
  </protectedRanges>
  <conditionalFormatting sqref="C242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scale="64" orientation="portrait" r:id="rId1"/>
  <colBreaks count="1" manualBreakCount="1">
    <brk id="5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view="pageBreakPreview" topLeftCell="A48" zoomScale="60" zoomScaleNormal="100" workbookViewId="0">
      <selection activeCell="C60" sqref="C60"/>
    </sheetView>
  </sheetViews>
  <sheetFormatPr defaultRowHeight="15.5" x14ac:dyDescent="0.35"/>
  <cols>
    <col min="1" max="1" width="13.54296875" style="155" customWidth="1"/>
    <col min="2" max="2" width="55.1796875" style="150" customWidth="1"/>
    <col min="3" max="3" width="24.6328125" style="155" customWidth="1"/>
    <col min="4" max="4" width="21.36328125" style="155" customWidth="1"/>
    <col min="5" max="5" width="22.08984375" style="155" customWidth="1"/>
    <col min="6" max="6" width="15.6328125" style="155" customWidth="1"/>
    <col min="7" max="253" width="8.90625" style="155"/>
    <col min="254" max="254" width="15.54296875" style="155" customWidth="1"/>
    <col min="255" max="255" width="39" style="155" customWidth="1"/>
    <col min="256" max="256" width="18.90625" style="155" customWidth="1"/>
    <col min="257" max="257" width="23.453125" style="155" customWidth="1"/>
    <col min="258" max="258" width="20.453125" style="155" customWidth="1"/>
    <col min="259" max="261" width="8.90625" style="155"/>
    <col min="262" max="262" width="10.453125" style="155" bestFit="1" customWidth="1"/>
    <col min="263" max="509" width="8.90625" style="155"/>
    <col min="510" max="510" width="15.54296875" style="155" customWidth="1"/>
    <col min="511" max="511" width="39" style="155" customWidth="1"/>
    <col min="512" max="512" width="18.90625" style="155" customWidth="1"/>
    <col min="513" max="513" width="23.453125" style="155" customWidth="1"/>
    <col min="514" max="514" width="20.453125" style="155" customWidth="1"/>
    <col min="515" max="517" width="8.90625" style="155"/>
    <col min="518" max="518" width="10.453125" style="155" bestFit="1" customWidth="1"/>
    <col min="519" max="765" width="8.90625" style="155"/>
    <col min="766" max="766" width="15.54296875" style="155" customWidth="1"/>
    <col min="767" max="767" width="39" style="155" customWidth="1"/>
    <col min="768" max="768" width="18.90625" style="155" customWidth="1"/>
    <col min="769" max="769" width="23.453125" style="155" customWidth="1"/>
    <col min="770" max="770" width="20.453125" style="155" customWidth="1"/>
    <col min="771" max="773" width="8.90625" style="155"/>
    <col min="774" max="774" width="10.453125" style="155" bestFit="1" customWidth="1"/>
    <col min="775" max="1021" width="8.90625" style="155"/>
    <col min="1022" max="1022" width="15.54296875" style="155" customWidth="1"/>
    <col min="1023" max="1023" width="39" style="155" customWidth="1"/>
    <col min="1024" max="1024" width="18.90625" style="155" customWidth="1"/>
    <col min="1025" max="1025" width="23.453125" style="155" customWidth="1"/>
    <col min="1026" max="1026" width="20.453125" style="155" customWidth="1"/>
    <col min="1027" max="1029" width="8.90625" style="155"/>
    <col min="1030" max="1030" width="10.453125" style="155" bestFit="1" customWidth="1"/>
    <col min="1031" max="1277" width="8.90625" style="155"/>
    <col min="1278" max="1278" width="15.54296875" style="155" customWidth="1"/>
    <col min="1279" max="1279" width="39" style="155" customWidth="1"/>
    <col min="1280" max="1280" width="18.90625" style="155" customWidth="1"/>
    <col min="1281" max="1281" width="23.453125" style="155" customWidth="1"/>
    <col min="1282" max="1282" width="20.453125" style="155" customWidth="1"/>
    <col min="1283" max="1285" width="8.90625" style="155"/>
    <col min="1286" max="1286" width="10.453125" style="155" bestFit="1" customWidth="1"/>
    <col min="1287" max="1533" width="8.90625" style="155"/>
    <col min="1534" max="1534" width="15.54296875" style="155" customWidth="1"/>
    <col min="1535" max="1535" width="39" style="155" customWidth="1"/>
    <col min="1536" max="1536" width="18.90625" style="155" customWidth="1"/>
    <col min="1537" max="1537" width="23.453125" style="155" customWidth="1"/>
    <col min="1538" max="1538" width="20.453125" style="155" customWidth="1"/>
    <col min="1539" max="1541" width="8.90625" style="155"/>
    <col min="1542" max="1542" width="10.453125" style="155" bestFit="1" customWidth="1"/>
    <col min="1543" max="1789" width="8.90625" style="155"/>
    <col min="1790" max="1790" width="15.54296875" style="155" customWidth="1"/>
    <col min="1791" max="1791" width="39" style="155" customWidth="1"/>
    <col min="1792" max="1792" width="18.90625" style="155" customWidth="1"/>
    <col min="1793" max="1793" width="23.453125" style="155" customWidth="1"/>
    <col min="1794" max="1794" width="20.453125" style="155" customWidth="1"/>
    <col min="1795" max="1797" width="8.90625" style="155"/>
    <col min="1798" max="1798" width="10.453125" style="155" bestFit="1" customWidth="1"/>
    <col min="1799" max="2045" width="8.90625" style="155"/>
    <col min="2046" max="2046" width="15.54296875" style="155" customWidth="1"/>
    <col min="2047" max="2047" width="39" style="155" customWidth="1"/>
    <col min="2048" max="2048" width="18.90625" style="155" customWidth="1"/>
    <col min="2049" max="2049" width="23.453125" style="155" customWidth="1"/>
    <col min="2050" max="2050" width="20.453125" style="155" customWidth="1"/>
    <col min="2051" max="2053" width="8.90625" style="155"/>
    <col min="2054" max="2054" width="10.453125" style="155" bestFit="1" customWidth="1"/>
    <col min="2055" max="2301" width="8.90625" style="155"/>
    <col min="2302" max="2302" width="15.54296875" style="155" customWidth="1"/>
    <col min="2303" max="2303" width="39" style="155" customWidth="1"/>
    <col min="2304" max="2304" width="18.90625" style="155" customWidth="1"/>
    <col min="2305" max="2305" width="23.453125" style="155" customWidth="1"/>
    <col min="2306" max="2306" width="20.453125" style="155" customWidth="1"/>
    <col min="2307" max="2309" width="8.90625" style="155"/>
    <col min="2310" max="2310" width="10.453125" style="155" bestFit="1" customWidth="1"/>
    <col min="2311" max="2557" width="8.90625" style="155"/>
    <col min="2558" max="2558" width="15.54296875" style="155" customWidth="1"/>
    <col min="2559" max="2559" width="39" style="155" customWidth="1"/>
    <col min="2560" max="2560" width="18.90625" style="155" customWidth="1"/>
    <col min="2561" max="2561" width="23.453125" style="155" customWidth="1"/>
    <col min="2562" max="2562" width="20.453125" style="155" customWidth="1"/>
    <col min="2563" max="2565" width="8.90625" style="155"/>
    <col min="2566" max="2566" width="10.453125" style="155" bestFit="1" customWidth="1"/>
    <col min="2567" max="2813" width="8.90625" style="155"/>
    <col min="2814" max="2814" width="15.54296875" style="155" customWidth="1"/>
    <col min="2815" max="2815" width="39" style="155" customWidth="1"/>
    <col min="2816" max="2816" width="18.90625" style="155" customWidth="1"/>
    <col min="2817" max="2817" width="23.453125" style="155" customWidth="1"/>
    <col min="2818" max="2818" width="20.453125" style="155" customWidth="1"/>
    <col min="2819" max="2821" width="8.90625" style="155"/>
    <col min="2822" max="2822" width="10.453125" style="155" bestFit="1" customWidth="1"/>
    <col min="2823" max="3069" width="8.90625" style="155"/>
    <col min="3070" max="3070" width="15.54296875" style="155" customWidth="1"/>
    <col min="3071" max="3071" width="39" style="155" customWidth="1"/>
    <col min="3072" max="3072" width="18.90625" style="155" customWidth="1"/>
    <col min="3073" max="3073" width="23.453125" style="155" customWidth="1"/>
    <col min="3074" max="3074" width="20.453125" style="155" customWidth="1"/>
    <col min="3075" max="3077" width="8.90625" style="155"/>
    <col min="3078" max="3078" width="10.453125" style="155" bestFit="1" customWidth="1"/>
    <col min="3079" max="3325" width="8.90625" style="155"/>
    <col min="3326" max="3326" width="15.54296875" style="155" customWidth="1"/>
    <col min="3327" max="3327" width="39" style="155" customWidth="1"/>
    <col min="3328" max="3328" width="18.90625" style="155" customWidth="1"/>
    <col min="3329" max="3329" width="23.453125" style="155" customWidth="1"/>
    <col min="3330" max="3330" width="20.453125" style="155" customWidth="1"/>
    <col min="3331" max="3333" width="8.90625" style="155"/>
    <col min="3334" max="3334" width="10.453125" style="155" bestFit="1" customWidth="1"/>
    <col min="3335" max="3581" width="8.90625" style="155"/>
    <col min="3582" max="3582" width="15.54296875" style="155" customWidth="1"/>
    <col min="3583" max="3583" width="39" style="155" customWidth="1"/>
    <col min="3584" max="3584" width="18.90625" style="155" customWidth="1"/>
    <col min="3585" max="3585" width="23.453125" style="155" customWidth="1"/>
    <col min="3586" max="3586" width="20.453125" style="155" customWidth="1"/>
    <col min="3587" max="3589" width="8.90625" style="155"/>
    <col min="3590" max="3590" width="10.453125" style="155" bestFit="1" customWidth="1"/>
    <col min="3591" max="3837" width="8.90625" style="155"/>
    <col min="3838" max="3838" width="15.54296875" style="155" customWidth="1"/>
    <col min="3839" max="3839" width="39" style="155" customWidth="1"/>
    <col min="3840" max="3840" width="18.90625" style="155" customWidth="1"/>
    <col min="3841" max="3841" width="23.453125" style="155" customWidth="1"/>
    <col min="3842" max="3842" width="20.453125" style="155" customWidth="1"/>
    <col min="3843" max="3845" width="8.90625" style="155"/>
    <col min="3846" max="3846" width="10.453125" style="155" bestFit="1" customWidth="1"/>
    <col min="3847" max="4093" width="8.90625" style="155"/>
    <col min="4094" max="4094" width="15.54296875" style="155" customWidth="1"/>
    <col min="4095" max="4095" width="39" style="155" customWidth="1"/>
    <col min="4096" max="4096" width="18.90625" style="155" customWidth="1"/>
    <col min="4097" max="4097" width="23.453125" style="155" customWidth="1"/>
    <col min="4098" max="4098" width="20.453125" style="155" customWidth="1"/>
    <col min="4099" max="4101" width="8.90625" style="155"/>
    <col min="4102" max="4102" width="10.453125" style="155" bestFit="1" customWidth="1"/>
    <col min="4103" max="4349" width="8.90625" style="155"/>
    <col min="4350" max="4350" width="15.54296875" style="155" customWidth="1"/>
    <col min="4351" max="4351" width="39" style="155" customWidth="1"/>
    <col min="4352" max="4352" width="18.90625" style="155" customWidth="1"/>
    <col min="4353" max="4353" width="23.453125" style="155" customWidth="1"/>
    <col min="4354" max="4354" width="20.453125" style="155" customWidth="1"/>
    <col min="4355" max="4357" width="8.90625" style="155"/>
    <col min="4358" max="4358" width="10.453125" style="155" bestFit="1" customWidth="1"/>
    <col min="4359" max="4605" width="8.90625" style="155"/>
    <col min="4606" max="4606" width="15.54296875" style="155" customWidth="1"/>
    <col min="4607" max="4607" width="39" style="155" customWidth="1"/>
    <col min="4608" max="4608" width="18.90625" style="155" customWidth="1"/>
    <col min="4609" max="4609" width="23.453125" style="155" customWidth="1"/>
    <col min="4610" max="4610" width="20.453125" style="155" customWidth="1"/>
    <col min="4611" max="4613" width="8.90625" style="155"/>
    <col min="4614" max="4614" width="10.453125" style="155" bestFit="1" customWidth="1"/>
    <col min="4615" max="4861" width="8.90625" style="155"/>
    <col min="4862" max="4862" width="15.54296875" style="155" customWidth="1"/>
    <col min="4863" max="4863" width="39" style="155" customWidth="1"/>
    <col min="4864" max="4864" width="18.90625" style="155" customWidth="1"/>
    <col min="4865" max="4865" width="23.453125" style="155" customWidth="1"/>
    <col min="4866" max="4866" width="20.453125" style="155" customWidth="1"/>
    <col min="4867" max="4869" width="8.90625" style="155"/>
    <col min="4870" max="4870" width="10.453125" style="155" bestFit="1" customWidth="1"/>
    <col min="4871" max="5117" width="8.90625" style="155"/>
    <col min="5118" max="5118" width="15.54296875" style="155" customWidth="1"/>
    <col min="5119" max="5119" width="39" style="155" customWidth="1"/>
    <col min="5120" max="5120" width="18.90625" style="155" customWidth="1"/>
    <col min="5121" max="5121" width="23.453125" style="155" customWidth="1"/>
    <col min="5122" max="5122" width="20.453125" style="155" customWidth="1"/>
    <col min="5123" max="5125" width="8.90625" style="155"/>
    <col min="5126" max="5126" width="10.453125" style="155" bestFit="1" customWidth="1"/>
    <col min="5127" max="5373" width="8.90625" style="155"/>
    <col min="5374" max="5374" width="15.54296875" style="155" customWidth="1"/>
    <col min="5375" max="5375" width="39" style="155" customWidth="1"/>
    <col min="5376" max="5376" width="18.90625" style="155" customWidth="1"/>
    <col min="5377" max="5377" width="23.453125" style="155" customWidth="1"/>
    <col min="5378" max="5378" width="20.453125" style="155" customWidth="1"/>
    <col min="5379" max="5381" width="8.90625" style="155"/>
    <col min="5382" max="5382" width="10.453125" style="155" bestFit="1" customWidth="1"/>
    <col min="5383" max="5629" width="8.90625" style="155"/>
    <col min="5630" max="5630" width="15.54296875" style="155" customWidth="1"/>
    <col min="5631" max="5631" width="39" style="155" customWidth="1"/>
    <col min="5632" max="5632" width="18.90625" style="155" customWidth="1"/>
    <col min="5633" max="5633" width="23.453125" style="155" customWidth="1"/>
    <col min="5634" max="5634" width="20.453125" style="155" customWidth="1"/>
    <col min="5635" max="5637" width="8.90625" style="155"/>
    <col min="5638" max="5638" width="10.453125" style="155" bestFit="1" customWidth="1"/>
    <col min="5639" max="5885" width="8.90625" style="155"/>
    <col min="5886" max="5886" width="15.54296875" style="155" customWidth="1"/>
    <col min="5887" max="5887" width="39" style="155" customWidth="1"/>
    <col min="5888" max="5888" width="18.90625" style="155" customWidth="1"/>
    <col min="5889" max="5889" width="23.453125" style="155" customWidth="1"/>
    <col min="5890" max="5890" width="20.453125" style="155" customWidth="1"/>
    <col min="5891" max="5893" width="8.90625" style="155"/>
    <col min="5894" max="5894" width="10.453125" style="155" bestFit="1" customWidth="1"/>
    <col min="5895" max="6141" width="8.90625" style="155"/>
    <col min="6142" max="6142" width="15.54296875" style="155" customWidth="1"/>
    <col min="6143" max="6143" width="39" style="155" customWidth="1"/>
    <col min="6144" max="6144" width="18.90625" style="155" customWidth="1"/>
    <col min="6145" max="6145" width="23.453125" style="155" customWidth="1"/>
    <col min="6146" max="6146" width="20.453125" style="155" customWidth="1"/>
    <col min="6147" max="6149" width="8.90625" style="155"/>
    <col min="6150" max="6150" width="10.453125" style="155" bestFit="1" customWidth="1"/>
    <col min="6151" max="6397" width="8.90625" style="155"/>
    <col min="6398" max="6398" width="15.54296875" style="155" customWidth="1"/>
    <col min="6399" max="6399" width="39" style="155" customWidth="1"/>
    <col min="6400" max="6400" width="18.90625" style="155" customWidth="1"/>
    <col min="6401" max="6401" width="23.453125" style="155" customWidth="1"/>
    <col min="6402" max="6402" width="20.453125" style="155" customWidth="1"/>
    <col min="6403" max="6405" width="8.90625" style="155"/>
    <col min="6406" max="6406" width="10.453125" style="155" bestFit="1" customWidth="1"/>
    <col min="6407" max="6653" width="8.90625" style="155"/>
    <col min="6654" max="6654" width="15.54296875" style="155" customWidth="1"/>
    <col min="6655" max="6655" width="39" style="155" customWidth="1"/>
    <col min="6656" max="6656" width="18.90625" style="155" customWidth="1"/>
    <col min="6657" max="6657" width="23.453125" style="155" customWidth="1"/>
    <col min="6658" max="6658" width="20.453125" style="155" customWidth="1"/>
    <col min="6659" max="6661" width="8.90625" style="155"/>
    <col min="6662" max="6662" width="10.453125" style="155" bestFit="1" customWidth="1"/>
    <col min="6663" max="6909" width="8.90625" style="155"/>
    <col min="6910" max="6910" width="15.54296875" style="155" customWidth="1"/>
    <col min="6911" max="6911" width="39" style="155" customWidth="1"/>
    <col min="6912" max="6912" width="18.90625" style="155" customWidth="1"/>
    <col min="6913" max="6913" width="23.453125" style="155" customWidth="1"/>
    <col min="6914" max="6914" width="20.453125" style="155" customWidth="1"/>
    <col min="6915" max="6917" width="8.90625" style="155"/>
    <col min="6918" max="6918" width="10.453125" style="155" bestFit="1" customWidth="1"/>
    <col min="6919" max="7165" width="8.90625" style="155"/>
    <col min="7166" max="7166" width="15.54296875" style="155" customWidth="1"/>
    <col min="7167" max="7167" width="39" style="155" customWidth="1"/>
    <col min="7168" max="7168" width="18.90625" style="155" customWidth="1"/>
    <col min="7169" max="7169" width="23.453125" style="155" customWidth="1"/>
    <col min="7170" max="7170" width="20.453125" style="155" customWidth="1"/>
    <col min="7171" max="7173" width="8.90625" style="155"/>
    <col min="7174" max="7174" width="10.453125" style="155" bestFit="1" customWidth="1"/>
    <col min="7175" max="7421" width="8.90625" style="155"/>
    <col min="7422" max="7422" width="15.54296875" style="155" customWidth="1"/>
    <col min="7423" max="7423" width="39" style="155" customWidth="1"/>
    <col min="7424" max="7424" width="18.90625" style="155" customWidth="1"/>
    <col min="7425" max="7425" width="23.453125" style="155" customWidth="1"/>
    <col min="7426" max="7426" width="20.453125" style="155" customWidth="1"/>
    <col min="7427" max="7429" width="8.90625" style="155"/>
    <col min="7430" max="7430" width="10.453125" style="155" bestFit="1" customWidth="1"/>
    <col min="7431" max="7677" width="8.90625" style="155"/>
    <col min="7678" max="7678" width="15.54296875" style="155" customWidth="1"/>
    <col min="7679" max="7679" width="39" style="155" customWidth="1"/>
    <col min="7680" max="7680" width="18.90625" style="155" customWidth="1"/>
    <col min="7681" max="7681" width="23.453125" style="155" customWidth="1"/>
    <col min="7682" max="7682" width="20.453125" style="155" customWidth="1"/>
    <col min="7683" max="7685" width="8.90625" style="155"/>
    <col min="7686" max="7686" width="10.453125" style="155" bestFit="1" customWidth="1"/>
    <col min="7687" max="7933" width="8.90625" style="155"/>
    <col min="7934" max="7934" width="15.54296875" style="155" customWidth="1"/>
    <col min="7935" max="7935" width="39" style="155" customWidth="1"/>
    <col min="7936" max="7936" width="18.90625" style="155" customWidth="1"/>
    <col min="7937" max="7937" width="23.453125" style="155" customWidth="1"/>
    <col min="7938" max="7938" width="20.453125" style="155" customWidth="1"/>
    <col min="7939" max="7941" width="8.90625" style="155"/>
    <col min="7942" max="7942" width="10.453125" style="155" bestFit="1" customWidth="1"/>
    <col min="7943" max="8189" width="8.90625" style="155"/>
    <col min="8190" max="8190" width="15.54296875" style="155" customWidth="1"/>
    <col min="8191" max="8191" width="39" style="155" customWidth="1"/>
    <col min="8192" max="8192" width="18.90625" style="155" customWidth="1"/>
    <col min="8193" max="8193" width="23.453125" style="155" customWidth="1"/>
    <col min="8194" max="8194" width="20.453125" style="155" customWidth="1"/>
    <col min="8195" max="8197" width="8.90625" style="155"/>
    <col min="8198" max="8198" width="10.453125" style="155" bestFit="1" customWidth="1"/>
    <col min="8199" max="8445" width="8.90625" style="155"/>
    <col min="8446" max="8446" width="15.54296875" style="155" customWidth="1"/>
    <col min="8447" max="8447" width="39" style="155" customWidth="1"/>
    <col min="8448" max="8448" width="18.90625" style="155" customWidth="1"/>
    <col min="8449" max="8449" width="23.453125" style="155" customWidth="1"/>
    <col min="8450" max="8450" width="20.453125" style="155" customWidth="1"/>
    <col min="8451" max="8453" width="8.90625" style="155"/>
    <col min="8454" max="8454" width="10.453125" style="155" bestFit="1" customWidth="1"/>
    <col min="8455" max="8701" width="8.90625" style="155"/>
    <col min="8702" max="8702" width="15.54296875" style="155" customWidth="1"/>
    <col min="8703" max="8703" width="39" style="155" customWidth="1"/>
    <col min="8704" max="8704" width="18.90625" style="155" customWidth="1"/>
    <col min="8705" max="8705" width="23.453125" style="155" customWidth="1"/>
    <col min="8706" max="8706" width="20.453125" style="155" customWidth="1"/>
    <col min="8707" max="8709" width="8.90625" style="155"/>
    <col min="8710" max="8710" width="10.453125" style="155" bestFit="1" customWidth="1"/>
    <col min="8711" max="8957" width="8.90625" style="155"/>
    <col min="8958" max="8958" width="15.54296875" style="155" customWidth="1"/>
    <col min="8959" max="8959" width="39" style="155" customWidth="1"/>
    <col min="8960" max="8960" width="18.90625" style="155" customWidth="1"/>
    <col min="8961" max="8961" width="23.453125" style="155" customWidth="1"/>
    <col min="8962" max="8962" width="20.453125" style="155" customWidth="1"/>
    <col min="8963" max="8965" width="8.90625" style="155"/>
    <col min="8966" max="8966" width="10.453125" style="155" bestFit="1" customWidth="1"/>
    <col min="8967" max="9213" width="8.90625" style="155"/>
    <col min="9214" max="9214" width="15.54296875" style="155" customWidth="1"/>
    <col min="9215" max="9215" width="39" style="155" customWidth="1"/>
    <col min="9216" max="9216" width="18.90625" style="155" customWidth="1"/>
    <col min="9217" max="9217" width="23.453125" style="155" customWidth="1"/>
    <col min="9218" max="9218" width="20.453125" style="155" customWidth="1"/>
    <col min="9219" max="9221" width="8.90625" style="155"/>
    <col min="9222" max="9222" width="10.453125" style="155" bestFit="1" customWidth="1"/>
    <col min="9223" max="9469" width="8.90625" style="155"/>
    <col min="9470" max="9470" width="15.54296875" style="155" customWidth="1"/>
    <col min="9471" max="9471" width="39" style="155" customWidth="1"/>
    <col min="9472" max="9472" width="18.90625" style="155" customWidth="1"/>
    <col min="9473" max="9473" width="23.453125" style="155" customWidth="1"/>
    <col min="9474" max="9474" width="20.453125" style="155" customWidth="1"/>
    <col min="9475" max="9477" width="8.90625" style="155"/>
    <col min="9478" max="9478" width="10.453125" style="155" bestFit="1" customWidth="1"/>
    <col min="9479" max="9725" width="8.90625" style="155"/>
    <col min="9726" max="9726" width="15.54296875" style="155" customWidth="1"/>
    <col min="9727" max="9727" width="39" style="155" customWidth="1"/>
    <col min="9728" max="9728" width="18.90625" style="155" customWidth="1"/>
    <col min="9729" max="9729" width="23.453125" style="155" customWidth="1"/>
    <col min="9730" max="9730" width="20.453125" style="155" customWidth="1"/>
    <col min="9731" max="9733" width="8.90625" style="155"/>
    <col min="9734" max="9734" width="10.453125" style="155" bestFit="1" customWidth="1"/>
    <col min="9735" max="9981" width="8.90625" style="155"/>
    <col min="9982" max="9982" width="15.54296875" style="155" customWidth="1"/>
    <col min="9983" max="9983" width="39" style="155" customWidth="1"/>
    <col min="9984" max="9984" width="18.90625" style="155" customWidth="1"/>
    <col min="9985" max="9985" width="23.453125" style="155" customWidth="1"/>
    <col min="9986" max="9986" width="20.453125" style="155" customWidth="1"/>
    <col min="9987" max="9989" width="8.90625" style="155"/>
    <col min="9990" max="9990" width="10.453125" style="155" bestFit="1" customWidth="1"/>
    <col min="9991" max="10237" width="8.90625" style="155"/>
    <col min="10238" max="10238" width="15.54296875" style="155" customWidth="1"/>
    <col min="10239" max="10239" width="39" style="155" customWidth="1"/>
    <col min="10240" max="10240" width="18.90625" style="155" customWidth="1"/>
    <col min="10241" max="10241" width="23.453125" style="155" customWidth="1"/>
    <col min="10242" max="10242" width="20.453125" style="155" customWidth="1"/>
    <col min="10243" max="10245" width="8.90625" style="155"/>
    <col min="10246" max="10246" width="10.453125" style="155" bestFit="1" customWidth="1"/>
    <col min="10247" max="10493" width="8.90625" style="155"/>
    <col min="10494" max="10494" width="15.54296875" style="155" customWidth="1"/>
    <col min="10495" max="10495" width="39" style="155" customWidth="1"/>
    <col min="10496" max="10496" width="18.90625" style="155" customWidth="1"/>
    <col min="10497" max="10497" width="23.453125" style="155" customWidth="1"/>
    <col min="10498" max="10498" width="20.453125" style="155" customWidth="1"/>
    <col min="10499" max="10501" width="8.90625" style="155"/>
    <col min="10502" max="10502" width="10.453125" style="155" bestFit="1" customWidth="1"/>
    <col min="10503" max="10749" width="8.90625" style="155"/>
    <col min="10750" max="10750" width="15.54296875" style="155" customWidth="1"/>
    <col min="10751" max="10751" width="39" style="155" customWidth="1"/>
    <col min="10752" max="10752" width="18.90625" style="155" customWidth="1"/>
    <col min="10753" max="10753" width="23.453125" style="155" customWidth="1"/>
    <col min="10754" max="10754" width="20.453125" style="155" customWidth="1"/>
    <col min="10755" max="10757" width="8.90625" style="155"/>
    <col min="10758" max="10758" width="10.453125" style="155" bestFit="1" customWidth="1"/>
    <col min="10759" max="11005" width="8.90625" style="155"/>
    <col min="11006" max="11006" width="15.54296875" style="155" customWidth="1"/>
    <col min="11007" max="11007" width="39" style="155" customWidth="1"/>
    <col min="11008" max="11008" width="18.90625" style="155" customWidth="1"/>
    <col min="11009" max="11009" width="23.453125" style="155" customWidth="1"/>
    <col min="11010" max="11010" width="20.453125" style="155" customWidth="1"/>
    <col min="11011" max="11013" width="8.90625" style="155"/>
    <col min="11014" max="11014" width="10.453125" style="155" bestFit="1" customWidth="1"/>
    <col min="11015" max="11261" width="8.90625" style="155"/>
    <col min="11262" max="11262" width="15.54296875" style="155" customWidth="1"/>
    <col min="11263" max="11263" width="39" style="155" customWidth="1"/>
    <col min="11264" max="11264" width="18.90625" style="155" customWidth="1"/>
    <col min="11265" max="11265" width="23.453125" style="155" customWidth="1"/>
    <col min="11266" max="11266" width="20.453125" style="155" customWidth="1"/>
    <col min="11267" max="11269" width="8.90625" style="155"/>
    <col min="11270" max="11270" width="10.453125" style="155" bestFit="1" customWidth="1"/>
    <col min="11271" max="11517" width="8.90625" style="155"/>
    <col min="11518" max="11518" width="15.54296875" style="155" customWidth="1"/>
    <col min="11519" max="11519" width="39" style="155" customWidth="1"/>
    <col min="11520" max="11520" width="18.90625" style="155" customWidth="1"/>
    <col min="11521" max="11521" width="23.453125" style="155" customWidth="1"/>
    <col min="11522" max="11522" width="20.453125" style="155" customWidth="1"/>
    <col min="11523" max="11525" width="8.90625" style="155"/>
    <col min="11526" max="11526" width="10.453125" style="155" bestFit="1" customWidth="1"/>
    <col min="11527" max="11773" width="8.90625" style="155"/>
    <col min="11774" max="11774" width="15.54296875" style="155" customWidth="1"/>
    <col min="11775" max="11775" width="39" style="155" customWidth="1"/>
    <col min="11776" max="11776" width="18.90625" style="155" customWidth="1"/>
    <col min="11777" max="11777" width="23.453125" style="155" customWidth="1"/>
    <col min="11778" max="11778" width="20.453125" style="155" customWidth="1"/>
    <col min="11779" max="11781" width="8.90625" style="155"/>
    <col min="11782" max="11782" width="10.453125" style="155" bestFit="1" customWidth="1"/>
    <col min="11783" max="12029" width="8.90625" style="155"/>
    <col min="12030" max="12030" width="15.54296875" style="155" customWidth="1"/>
    <col min="12031" max="12031" width="39" style="155" customWidth="1"/>
    <col min="12032" max="12032" width="18.90625" style="155" customWidth="1"/>
    <col min="12033" max="12033" width="23.453125" style="155" customWidth="1"/>
    <col min="12034" max="12034" width="20.453125" style="155" customWidth="1"/>
    <col min="12035" max="12037" width="8.90625" style="155"/>
    <col min="12038" max="12038" width="10.453125" style="155" bestFit="1" customWidth="1"/>
    <col min="12039" max="12285" width="8.90625" style="155"/>
    <col min="12286" max="12286" width="15.54296875" style="155" customWidth="1"/>
    <col min="12287" max="12287" width="39" style="155" customWidth="1"/>
    <col min="12288" max="12288" width="18.90625" style="155" customWidth="1"/>
    <col min="12289" max="12289" width="23.453125" style="155" customWidth="1"/>
    <col min="12290" max="12290" width="20.453125" style="155" customWidth="1"/>
    <col min="12291" max="12293" width="8.90625" style="155"/>
    <col min="12294" max="12294" width="10.453125" style="155" bestFit="1" customWidth="1"/>
    <col min="12295" max="12541" width="8.90625" style="155"/>
    <col min="12542" max="12542" width="15.54296875" style="155" customWidth="1"/>
    <col min="12543" max="12543" width="39" style="155" customWidth="1"/>
    <col min="12544" max="12544" width="18.90625" style="155" customWidth="1"/>
    <col min="12545" max="12545" width="23.453125" style="155" customWidth="1"/>
    <col min="12546" max="12546" width="20.453125" style="155" customWidth="1"/>
    <col min="12547" max="12549" width="8.90625" style="155"/>
    <col min="12550" max="12550" width="10.453125" style="155" bestFit="1" customWidth="1"/>
    <col min="12551" max="12797" width="8.90625" style="155"/>
    <col min="12798" max="12798" width="15.54296875" style="155" customWidth="1"/>
    <col min="12799" max="12799" width="39" style="155" customWidth="1"/>
    <col min="12800" max="12800" width="18.90625" style="155" customWidth="1"/>
    <col min="12801" max="12801" width="23.453125" style="155" customWidth="1"/>
    <col min="12802" max="12802" width="20.453125" style="155" customWidth="1"/>
    <col min="12803" max="12805" width="8.90625" style="155"/>
    <col min="12806" max="12806" width="10.453125" style="155" bestFit="1" customWidth="1"/>
    <col min="12807" max="13053" width="8.90625" style="155"/>
    <col min="13054" max="13054" width="15.54296875" style="155" customWidth="1"/>
    <col min="13055" max="13055" width="39" style="155" customWidth="1"/>
    <col min="13056" max="13056" width="18.90625" style="155" customWidth="1"/>
    <col min="13057" max="13057" width="23.453125" style="155" customWidth="1"/>
    <col min="13058" max="13058" width="20.453125" style="155" customWidth="1"/>
    <col min="13059" max="13061" width="8.90625" style="155"/>
    <col min="13062" max="13062" width="10.453125" style="155" bestFit="1" customWidth="1"/>
    <col min="13063" max="13309" width="8.90625" style="155"/>
    <col min="13310" max="13310" width="15.54296875" style="155" customWidth="1"/>
    <col min="13311" max="13311" width="39" style="155" customWidth="1"/>
    <col min="13312" max="13312" width="18.90625" style="155" customWidth="1"/>
    <col min="13313" max="13313" width="23.453125" style="155" customWidth="1"/>
    <col min="13314" max="13314" width="20.453125" style="155" customWidth="1"/>
    <col min="13315" max="13317" width="8.90625" style="155"/>
    <col min="13318" max="13318" width="10.453125" style="155" bestFit="1" customWidth="1"/>
    <col min="13319" max="13565" width="8.90625" style="155"/>
    <col min="13566" max="13566" width="15.54296875" style="155" customWidth="1"/>
    <col min="13567" max="13567" width="39" style="155" customWidth="1"/>
    <col min="13568" max="13568" width="18.90625" style="155" customWidth="1"/>
    <col min="13569" max="13569" width="23.453125" style="155" customWidth="1"/>
    <col min="13570" max="13570" width="20.453125" style="155" customWidth="1"/>
    <col min="13571" max="13573" width="8.90625" style="155"/>
    <col min="13574" max="13574" width="10.453125" style="155" bestFit="1" customWidth="1"/>
    <col min="13575" max="13821" width="8.90625" style="155"/>
    <col min="13822" max="13822" width="15.54296875" style="155" customWidth="1"/>
    <col min="13823" max="13823" width="39" style="155" customWidth="1"/>
    <col min="13824" max="13824" width="18.90625" style="155" customWidth="1"/>
    <col min="13825" max="13825" width="23.453125" style="155" customWidth="1"/>
    <col min="13826" max="13826" width="20.453125" style="155" customWidth="1"/>
    <col min="13827" max="13829" width="8.90625" style="155"/>
    <col min="13830" max="13830" width="10.453125" style="155" bestFit="1" customWidth="1"/>
    <col min="13831" max="14077" width="8.90625" style="155"/>
    <col min="14078" max="14078" width="15.54296875" style="155" customWidth="1"/>
    <col min="14079" max="14079" width="39" style="155" customWidth="1"/>
    <col min="14080" max="14080" width="18.90625" style="155" customWidth="1"/>
    <col min="14081" max="14081" width="23.453125" style="155" customWidth="1"/>
    <col min="14082" max="14082" width="20.453125" style="155" customWidth="1"/>
    <col min="14083" max="14085" width="8.90625" style="155"/>
    <col min="14086" max="14086" width="10.453125" style="155" bestFit="1" customWidth="1"/>
    <col min="14087" max="14333" width="8.90625" style="155"/>
    <col min="14334" max="14334" width="15.54296875" style="155" customWidth="1"/>
    <col min="14335" max="14335" width="39" style="155" customWidth="1"/>
    <col min="14336" max="14336" width="18.90625" style="155" customWidth="1"/>
    <col min="14337" max="14337" width="23.453125" style="155" customWidth="1"/>
    <col min="14338" max="14338" width="20.453125" style="155" customWidth="1"/>
    <col min="14339" max="14341" width="8.90625" style="155"/>
    <col min="14342" max="14342" width="10.453125" style="155" bestFit="1" customWidth="1"/>
    <col min="14343" max="14589" width="8.90625" style="155"/>
    <col min="14590" max="14590" width="15.54296875" style="155" customWidth="1"/>
    <col min="14591" max="14591" width="39" style="155" customWidth="1"/>
    <col min="14592" max="14592" width="18.90625" style="155" customWidth="1"/>
    <col min="14593" max="14593" width="23.453125" style="155" customWidth="1"/>
    <col min="14594" max="14594" width="20.453125" style="155" customWidth="1"/>
    <col min="14595" max="14597" width="8.90625" style="155"/>
    <col min="14598" max="14598" width="10.453125" style="155" bestFit="1" customWidth="1"/>
    <col min="14599" max="14845" width="8.90625" style="155"/>
    <col min="14846" max="14846" width="15.54296875" style="155" customWidth="1"/>
    <col min="14847" max="14847" width="39" style="155" customWidth="1"/>
    <col min="14848" max="14848" width="18.90625" style="155" customWidth="1"/>
    <col min="14849" max="14849" width="23.453125" style="155" customWidth="1"/>
    <col min="14850" max="14850" width="20.453125" style="155" customWidth="1"/>
    <col min="14851" max="14853" width="8.90625" style="155"/>
    <col min="14854" max="14854" width="10.453125" style="155" bestFit="1" customWidth="1"/>
    <col min="14855" max="15101" width="8.90625" style="155"/>
    <col min="15102" max="15102" width="15.54296875" style="155" customWidth="1"/>
    <col min="15103" max="15103" width="39" style="155" customWidth="1"/>
    <col min="15104" max="15104" width="18.90625" style="155" customWidth="1"/>
    <col min="15105" max="15105" width="23.453125" style="155" customWidth="1"/>
    <col min="15106" max="15106" width="20.453125" style="155" customWidth="1"/>
    <col min="15107" max="15109" width="8.90625" style="155"/>
    <col min="15110" max="15110" width="10.453125" style="155" bestFit="1" customWidth="1"/>
    <col min="15111" max="15357" width="8.90625" style="155"/>
    <col min="15358" max="15358" width="15.54296875" style="155" customWidth="1"/>
    <col min="15359" max="15359" width="39" style="155" customWidth="1"/>
    <col min="15360" max="15360" width="18.90625" style="155" customWidth="1"/>
    <col min="15361" max="15361" width="23.453125" style="155" customWidth="1"/>
    <col min="15362" max="15362" width="20.453125" style="155" customWidth="1"/>
    <col min="15363" max="15365" width="8.90625" style="155"/>
    <col min="15366" max="15366" width="10.453125" style="155" bestFit="1" customWidth="1"/>
    <col min="15367" max="15613" width="8.90625" style="155"/>
    <col min="15614" max="15614" width="15.54296875" style="155" customWidth="1"/>
    <col min="15615" max="15615" width="39" style="155" customWidth="1"/>
    <col min="15616" max="15616" width="18.90625" style="155" customWidth="1"/>
    <col min="15617" max="15617" width="23.453125" style="155" customWidth="1"/>
    <col min="15618" max="15618" width="20.453125" style="155" customWidth="1"/>
    <col min="15619" max="15621" width="8.90625" style="155"/>
    <col min="15622" max="15622" width="10.453125" style="155" bestFit="1" customWidth="1"/>
    <col min="15623" max="15869" width="8.90625" style="155"/>
    <col min="15870" max="15870" width="15.54296875" style="155" customWidth="1"/>
    <col min="15871" max="15871" width="39" style="155" customWidth="1"/>
    <col min="15872" max="15872" width="18.90625" style="155" customWidth="1"/>
    <col min="15873" max="15873" width="23.453125" style="155" customWidth="1"/>
    <col min="15874" max="15874" width="20.453125" style="155" customWidth="1"/>
    <col min="15875" max="15877" width="8.90625" style="155"/>
    <col min="15878" max="15878" width="10.453125" style="155" bestFit="1" customWidth="1"/>
    <col min="15879" max="16125" width="8.90625" style="155"/>
    <col min="16126" max="16126" width="15.54296875" style="155" customWidth="1"/>
    <col min="16127" max="16127" width="39" style="155" customWidth="1"/>
    <col min="16128" max="16128" width="18.90625" style="155" customWidth="1"/>
    <col min="16129" max="16129" width="23.453125" style="155" customWidth="1"/>
    <col min="16130" max="16130" width="20.453125" style="155" customWidth="1"/>
    <col min="16131" max="16133" width="8.90625" style="155"/>
    <col min="16134" max="16134" width="10.453125" style="155" bestFit="1" customWidth="1"/>
    <col min="16135" max="16384" width="8.90625" style="155"/>
  </cols>
  <sheetData>
    <row r="1" spans="1:5" ht="15.65" x14ac:dyDescent="0.3">
      <c r="A1" s="865" t="s">
        <v>545</v>
      </c>
      <c r="B1" s="866"/>
      <c r="C1" s="636" t="s">
        <v>1015</v>
      </c>
      <c r="D1" s="637"/>
      <c r="E1" s="636"/>
    </row>
    <row r="2" spans="1:5" ht="31.25" x14ac:dyDescent="0.3">
      <c r="A2" s="638" t="s">
        <v>319</v>
      </c>
      <c r="B2" s="709" t="s">
        <v>546</v>
      </c>
      <c r="C2" s="639" t="s">
        <v>482</v>
      </c>
      <c r="D2" s="639" t="s">
        <v>679</v>
      </c>
      <c r="E2" s="639" t="s">
        <v>1016</v>
      </c>
    </row>
    <row r="3" spans="1:5" ht="15.65" x14ac:dyDescent="0.3">
      <c r="A3" s="460">
        <v>2110100</v>
      </c>
      <c r="B3" s="64" t="s">
        <v>311</v>
      </c>
      <c r="C3" s="459">
        <f>C4+C5+C6</f>
        <v>11712720</v>
      </c>
      <c r="D3" s="459">
        <f>C3*1.05</f>
        <v>12298356</v>
      </c>
      <c r="E3" s="459">
        <f>D3*1.05</f>
        <v>12913273.800000001</v>
      </c>
    </row>
    <row r="4" spans="1:5" ht="15.65" x14ac:dyDescent="0.3">
      <c r="A4" s="640">
        <v>2110101</v>
      </c>
      <c r="B4" s="710" t="s">
        <v>99</v>
      </c>
      <c r="C4" s="120">
        <v>10246070</v>
      </c>
      <c r="D4" s="641">
        <f t="shared" ref="D4:E53" si="0">C4*1.05</f>
        <v>10758373.5</v>
      </c>
      <c r="E4" s="641">
        <f t="shared" si="0"/>
        <v>11296292.175000001</v>
      </c>
    </row>
    <row r="5" spans="1:5" ht="15.65" x14ac:dyDescent="0.3">
      <c r="A5" s="642" t="s">
        <v>547</v>
      </c>
      <c r="B5" s="711" t="s">
        <v>548</v>
      </c>
      <c r="C5" s="643"/>
      <c r="D5" s="641">
        <f t="shared" si="0"/>
        <v>0</v>
      </c>
      <c r="E5" s="641">
        <f t="shared" si="0"/>
        <v>0</v>
      </c>
    </row>
    <row r="6" spans="1:5" ht="15.65" x14ac:dyDescent="0.3">
      <c r="A6" s="642" t="s">
        <v>21</v>
      </c>
      <c r="B6" s="711" t="s">
        <v>22</v>
      </c>
      <c r="C6" s="643">
        <v>1466650</v>
      </c>
      <c r="D6" s="641">
        <f t="shared" si="0"/>
        <v>1539982.5</v>
      </c>
      <c r="E6" s="641">
        <f t="shared" si="0"/>
        <v>1616981.625</v>
      </c>
    </row>
    <row r="7" spans="1:5" ht="15.65" x14ac:dyDescent="0.3">
      <c r="A7" s="644">
        <v>2210100</v>
      </c>
      <c r="B7" s="464" t="s">
        <v>23</v>
      </c>
      <c r="C7" s="645">
        <f>SUM(C8:C9)</f>
        <v>0</v>
      </c>
      <c r="D7" s="459">
        <f t="shared" si="0"/>
        <v>0</v>
      </c>
      <c r="E7" s="459">
        <f t="shared" si="0"/>
        <v>0</v>
      </c>
    </row>
    <row r="8" spans="1:5" ht="15.65" x14ac:dyDescent="0.3">
      <c r="A8" s="640" t="s">
        <v>101</v>
      </c>
      <c r="B8" s="710" t="s">
        <v>102</v>
      </c>
      <c r="C8" s="646">
        <v>0</v>
      </c>
      <c r="D8" s="641">
        <f t="shared" si="0"/>
        <v>0</v>
      </c>
      <c r="E8" s="641">
        <f t="shared" si="0"/>
        <v>0</v>
      </c>
    </row>
    <row r="9" spans="1:5" ht="15.65" x14ac:dyDescent="0.3">
      <c r="A9" s="642" t="s">
        <v>103</v>
      </c>
      <c r="B9" s="711" t="s">
        <v>104</v>
      </c>
      <c r="C9" s="646"/>
      <c r="D9" s="641">
        <f t="shared" si="0"/>
        <v>0</v>
      </c>
      <c r="E9" s="641">
        <f t="shared" si="0"/>
        <v>0</v>
      </c>
    </row>
    <row r="10" spans="1:5" ht="15.65" x14ac:dyDescent="0.3">
      <c r="A10" s="644">
        <v>2210200</v>
      </c>
      <c r="B10" s="464" t="s">
        <v>26</v>
      </c>
      <c r="C10" s="645">
        <f>SUM(C11:C13)</f>
        <v>403625</v>
      </c>
      <c r="D10" s="459">
        <f t="shared" si="0"/>
        <v>423806.25</v>
      </c>
      <c r="E10" s="459">
        <f t="shared" si="0"/>
        <v>444996.5625</v>
      </c>
    </row>
    <row r="11" spans="1:5" ht="15.65" x14ac:dyDescent="0.3">
      <c r="A11" s="640" t="s">
        <v>105</v>
      </c>
      <c r="B11" s="710" t="s">
        <v>106</v>
      </c>
      <c r="C11" s="646">
        <v>381714</v>
      </c>
      <c r="D11" s="641">
        <f t="shared" si="0"/>
        <v>400799.7</v>
      </c>
      <c r="E11" s="641">
        <f t="shared" si="0"/>
        <v>420839.68500000006</v>
      </c>
    </row>
    <row r="12" spans="1:5" ht="15.65" x14ac:dyDescent="0.3">
      <c r="A12" s="642" t="s">
        <v>107</v>
      </c>
      <c r="B12" s="711" t="s">
        <v>108</v>
      </c>
      <c r="C12" s="646">
        <v>0</v>
      </c>
      <c r="D12" s="641">
        <f t="shared" si="0"/>
        <v>0</v>
      </c>
      <c r="E12" s="641">
        <f t="shared" si="0"/>
        <v>0</v>
      </c>
    </row>
    <row r="13" spans="1:5" ht="15.65" x14ac:dyDescent="0.3">
      <c r="A13" s="642">
        <v>2210203</v>
      </c>
      <c r="B13" s="711" t="s">
        <v>549</v>
      </c>
      <c r="C13" s="646">
        <f>28000-6089</f>
        <v>21911</v>
      </c>
      <c r="D13" s="641">
        <f t="shared" si="0"/>
        <v>23006.55</v>
      </c>
      <c r="E13" s="641">
        <f t="shared" si="0"/>
        <v>24156.877499999999</v>
      </c>
    </row>
    <row r="14" spans="1:5" ht="28.5" customHeight="1" x14ac:dyDescent="0.3">
      <c r="A14" s="644">
        <v>2210300</v>
      </c>
      <c r="B14" s="465" t="s">
        <v>30</v>
      </c>
      <c r="C14" s="645">
        <f>SUM(C15:C17)</f>
        <v>11511341</v>
      </c>
      <c r="D14" s="459">
        <f t="shared" si="0"/>
        <v>12086908.050000001</v>
      </c>
      <c r="E14" s="459">
        <f t="shared" si="0"/>
        <v>12691253.452500001</v>
      </c>
    </row>
    <row r="15" spans="1:5" ht="33" customHeight="1" x14ac:dyDescent="0.3">
      <c r="A15" s="640" t="s">
        <v>110</v>
      </c>
      <c r="B15" s="710" t="s">
        <v>111</v>
      </c>
      <c r="C15" s="646">
        <v>3854531</v>
      </c>
      <c r="D15" s="641">
        <f t="shared" si="0"/>
        <v>4047257.5500000003</v>
      </c>
      <c r="E15" s="641">
        <f t="shared" si="0"/>
        <v>4249620.4275000002</v>
      </c>
    </row>
    <row r="16" spans="1:5" ht="15.65" x14ac:dyDescent="0.3">
      <c r="A16" s="647" t="s">
        <v>114</v>
      </c>
      <c r="B16" s="712" t="s">
        <v>115</v>
      </c>
      <c r="C16" s="646">
        <v>3691104</v>
      </c>
      <c r="D16" s="641">
        <f t="shared" si="0"/>
        <v>3875659.2</v>
      </c>
      <c r="E16" s="641">
        <f t="shared" si="0"/>
        <v>4069442.16</v>
      </c>
    </row>
    <row r="17" spans="1:5" ht="15.65" x14ac:dyDescent="0.3">
      <c r="A17" s="640" t="s">
        <v>33</v>
      </c>
      <c r="B17" s="710" t="s">
        <v>116</v>
      </c>
      <c r="C17" s="648">
        <v>3965706</v>
      </c>
      <c r="D17" s="641">
        <f t="shared" si="0"/>
        <v>4163991.3000000003</v>
      </c>
      <c r="E17" s="641">
        <f t="shared" si="0"/>
        <v>4372190.8650000002</v>
      </c>
    </row>
    <row r="18" spans="1:5" ht="29" customHeight="1" x14ac:dyDescent="0.3">
      <c r="A18" s="644">
        <v>2210400</v>
      </c>
      <c r="B18" s="542" t="s">
        <v>37</v>
      </c>
      <c r="C18" s="649">
        <f>SUM(C19:C20)</f>
        <v>0</v>
      </c>
      <c r="D18" s="459">
        <f t="shared" si="0"/>
        <v>0</v>
      </c>
      <c r="E18" s="459">
        <f t="shared" si="0"/>
        <v>0</v>
      </c>
    </row>
    <row r="19" spans="1:5" ht="15.65" x14ac:dyDescent="0.3">
      <c r="A19" s="647">
        <v>2210401</v>
      </c>
      <c r="B19" s="710" t="s">
        <v>550</v>
      </c>
      <c r="C19" s="650">
        <v>0</v>
      </c>
      <c r="D19" s="459">
        <f t="shared" si="0"/>
        <v>0</v>
      </c>
      <c r="E19" s="459">
        <f t="shared" si="0"/>
        <v>0</v>
      </c>
    </row>
    <row r="20" spans="1:5" ht="15.65" x14ac:dyDescent="0.3">
      <c r="A20" s="647">
        <v>2210403</v>
      </c>
      <c r="B20" s="712" t="s">
        <v>551</v>
      </c>
      <c r="C20" s="650">
        <v>0</v>
      </c>
      <c r="D20" s="459">
        <f t="shared" si="0"/>
        <v>0</v>
      </c>
      <c r="E20" s="459">
        <f t="shared" si="0"/>
        <v>0</v>
      </c>
    </row>
    <row r="21" spans="1:5" ht="15.65" x14ac:dyDescent="0.3">
      <c r="A21" s="644">
        <v>2210500</v>
      </c>
      <c r="B21" s="542" t="s">
        <v>38</v>
      </c>
      <c r="C21" s="651">
        <f>SUM(C22:C24)</f>
        <v>1072354</v>
      </c>
      <c r="D21" s="459">
        <f t="shared" si="0"/>
        <v>1125971.7</v>
      </c>
      <c r="E21" s="459">
        <f t="shared" si="0"/>
        <v>1182270.2849999999</v>
      </c>
    </row>
    <row r="22" spans="1:5" ht="15.65" x14ac:dyDescent="0.3">
      <c r="A22" s="642" t="s">
        <v>122</v>
      </c>
      <c r="B22" s="711" t="s">
        <v>123</v>
      </c>
      <c r="C22" s="646">
        <v>0</v>
      </c>
      <c r="D22" s="459">
        <f t="shared" si="0"/>
        <v>0</v>
      </c>
      <c r="E22" s="459">
        <f t="shared" si="0"/>
        <v>0</v>
      </c>
    </row>
    <row r="23" spans="1:5" ht="15.65" x14ac:dyDescent="0.3">
      <c r="A23" s="640" t="s">
        <v>124</v>
      </c>
      <c r="B23" s="710" t="s">
        <v>125</v>
      </c>
      <c r="C23" s="646">
        <v>1072354</v>
      </c>
      <c r="D23" s="641">
        <f t="shared" si="0"/>
        <v>1125971.7</v>
      </c>
      <c r="E23" s="641">
        <f t="shared" si="0"/>
        <v>1182270.2849999999</v>
      </c>
    </row>
    <row r="24" spans="1:5" ht="15.65" x14ac:dyDescent="0.3">
      <c r="A24" s="642" t="s">
        <v>202</v>
      </c>
      <c r="B24" s="711" t="s">
        <v>41</v>
      </c>
      <c r="C24" s="646">
        <v>0</v>
      </c>
      <c r="D24" s="641">
        <f t="shared" si="0"/>
        <v>0</v>
      </c>
      <c r="E24" s="641">
        <f t="shared" si="0"/>
        <v>0</v>
      </c>
    </row>
    <row r="25" spans="1:5" ht="15.65" x14ac:dyDescent="0.3">
      <c r="A25" s="644">
        <v>2210700</v>
      </c>
      <c r="B25" s="542" t="s">
        <v>45</v>
      </c>
      <c r="C25" s="645">
        <f>SUM(C26:C27)</f>
        <v>3257658</v>
      </c>
      <c r="D25" s="459">
        <f t="shared" si="0"/>
        <v>3420540.9000000004</v>
      </c>
      <c r="E25" s="459">
        <f t="shared" si="0"/>
        <v>3591567.9450000008</v>
      </c>
    </row>
    <row r="26" spans="1:5" ht="15.65" x14ac:dyDescent="0.3">
      <c r="A26" s="640" t="s">
        <v>127</v>
      </c>
      <c r="B26" s="710" t="s">
        <v>128</v>
      </c>
      <c r="C26" s="646">
        <v>1162678</v>
      </c>
      <c r="D26" s="641">
        <f t="shared" si="0"/>
        <v>1220811.9000000001</v>
      </c>
      <c r="E26" s="641">
        <f t="shared" si="0"/>
        <v>1281852.4950000001</v>
      </c>
    </row>
    <row r="27" spans="1:5" ht="15.65" x14ac:dyDescent="0.3">
      <c r="A27" s="642" t="s">
        <v>129</v>
      </c>
      <c r="B27" s="711" t="s">
        <v>130</v>
      </c>
      <c r="C27" s="646">
        <v>2094980</v>
      </c>
      <c r="D27" s="641">
        <f t="shared" si="0"/>
        <v>2199729</v>
      </c>
      <c r="E27" s="641">
        <f t="shared" si="0"/>
        <v>2309715.4500000002</v>
      </c>
    </row>
    <row r="28" spans="1:5" ht="15.65" x14ac:dyDescent="0.3">
      <c r="A28" s="644">
        <v>2210800</v>
      </c>
      <c r="B28" s="542" t="s">
        <v>48</v>
      </c>
      <c r="C28" s="645">
        <f>SUM(C29:C30)</f>
        <v>8952609</v>
      </c>
      <c r="D28" s="459">
        <f t="shared" si="0"/>
        <v>9400239.4500000011</v>
      </c>
      <c r="E28" s="459">
        <f t="shared" si="0"/>
        <v>9870251.4225000013</v>
      </c>
    </row>
    <row r="29" spans="1:5" ht="15.65" x14ac:dyDescent="0.3">
      <c r="A29" s="640" t="s">
        <v>131</v>
      </c>
      <c r="B29" s="710" t="s">
        <v>206</v>
      </c>
      <c r="C29" s="646">
        <v>4126209</v>
      </c>
      <c r="D29" s="641">
        <f t="shared" si="0"/>
        <v>4332519.45</v>
      </c>
      <c r="E29" s="641">
        <f t="shared" si="0"/>
        <v>4549145.4225000003</v>
      </c>
    </row>
    <row r="30" spans="1:5" ht="15.65" x14ac:dyDescent="0.3">
      <c r="A30" s="642" t="s">
        <v>133</v>
      </c>
      <c r="B30" s="711" t="s">
        <v>207</v>
      </c>
      <c r="C30" s="648">
        <v>4826400</v>
      </c>
      <c r="D30" s="641">
        <f t="shared" si="0"/>
        <v>5067720</v>
      </c>
      <c r="E30" s="641">
        <f t="shared" si="0"/>
        <v>5321106</v>
      </c>
    </row>
    <row r="31" spans="1:5" ht="15.65" x14ac:dyDescent="0.3">
      <c r="A31" s="644">
        <v>2211000</v>
      </c>
      <c r="B31" s="542" t="s">
        <v>552</v>
      </c>
      <c r="C31" s="645">
        <f>C32</f>
        <v>420000</v>
      </c>
      <c r="D31" s="459">
        <f t="shared" si="0"/>
        <v>441000</v>
      </c>
      <c r="E31" s="459">
        <f t="shared" si="0"/>
        <v>463050</v>
      </c>
    </row>
    <row r="32" spans="1:5" ht="15.65" x14ac:dyDescent="0.3">
      <c r="A32" s="640" t="s">
        <v>262</v>
      </c>
      <c r="B32" s="710" t="s">
        <v>553</v>
      </c>
      <c r="C32" s="646">
        <v>420000</v>
      </c>
      <c r="D32" s="641">
        <f t="shared" si="0"/>
        <v>441000</v>
      </c>
      <c r="E32" s="641">
        <f t="shared" si="0"/>
        <v>463050</v>
      </c>
    </row>
    <row r="33" spans="1:6" ht="15.65" x14ac:dyDescent="0.3">
      <c r="A33" s="644">
        <v>2211100</v>
      </c>
      <c r="B33" s="465" t="s">
        <v>56</v>
      </c>
      <c r="C33" s="652">
        <f>C34+C35</f>
        <v>1713475</v>
      </c>
      <c r="D33" s="459">
        <f t="shared" si="0"/>
        <v>1799148.75</v>
      </c>
      <c r="E33" s="459">
        <f t="shared" si="0"/>
        <v>1889106.1875</v>
      </c>
    </row>
    <row r="34" spans="1:6" ht="15.65" x14ac:dyDescent="0.3">
      <c r="A34" s="642" t="s">
        <v>138</v>
      </c>
      <c r="B34" s="711" t="s">
        <v>228</v>
      </c>
      <c r="C34" s="646">
        <v>1470360</v>
      </c>
      <c r="D34" s="641">
        <f t="shared" si="0"/>
        <v>1543878</v>
      </c>
      <c r="E34" s="641">
        <f t="shared" si="0"/>
        <v>1621071.9000000001</v>
      </c>
    </row>
    <row r="35" spans="1:6" ht="15.65" x14ac:dyDescent="0.3">
      <c r="A35" s="640" t="s">
        <v>140</v>
      </c>
      <c r="B35" s="710" t="s">
        <v>230</v>
      </c>
      <c r="C35" s="648">
        <v>243115</v>
      </c>
      <c r="D35" s="641">
        <f t="shared" si="0"/>
        <v>255270.75</v>
      </c>
      <c r="E35" s="641">
        <f t="shared" si="0"/>
        <v>268034.28750000003</v>
      </c>
    </row>
    <row r="36" spans="1:6" ht="15.65" x14ac:dyDescent="0.3">
      <c r="A36" s="644">
        <v>2211200</v>
      </c>
      <c r="B36" s="465" t="s">
        <v>60</v>
      </c>
      <c r="C36" s="649">
        <f>C37</f>
        <v>1513043</v>
      </c>
      <c r="D36" s="459">
        <f t="shared" si="0"/>
        <v>1588695.1500000001</v>
      </c>
      <c r="E36" s="459">
        <f t="shared" si="0"/>
        <v>1668129.9075000002</v>
      </c>
    </row>
    <row r="37" spans="1:6" ht="18" customHeight="1" x14ac:dyDescent="0.3">
      <c r="A37" s="642" t="s">
        <v>142</v>
      </c>
      <c r="B37" s="711" t="s">
        <v>143</v>
      </c>
      <c r="C37" s="646">
        <v>1513043</v>
      </c>
      <c r="D37" s="641">
        <f t="shared" si="0"/>
        <v>1588695.1500000001</v>
      </c>
      <c r="E37" s="641">
        <f t="shared" si="0"/>
        <v>1668129.9075000002</v>
      </c>
    </row>
    <row r="38" spans="1:6" ht="18" customHeight="1" x14ac:dyDescent="0.3">
      <c r="A38" s="644">
        <v>2211300</v>
      </c>
      <c r="B38" s="465" t="s">
        <v>62</v>
      </c>
      <c r="C38" s="653">
        <f>SUM(C39:C45)</f>
        <v>4211285</v>
      </c>
      <c r="D38" s="459">
        <f t="shared" si="0"/>
        <v>4421849.25</v>
      </c>
      <c r="E38" s="459">
        <f t="shared" si="0"/>
        <v>4642941.7125000004</v>
      </c>
    </row>
    <row r="39" spans="1:6" ht="18" customHeight="1" x14ac:dyDescent="0.3">
      <c r="A39" s="640" t="s">
        <v>144</v>
      </c>
      <c r="B39" s="710" t="s">
        <v>64</v>
      </c>
      <c r="C39" s="646">
        <v>0</v>
      </c>
      <c r="D39" s="459">
        <f t="shared" si="0"/>
        <v>0</v>
      </c>
      <c r="E39" s="459">
        <f t="shared" si="0"/>
        <v>0</v>
      </c>
    </row>
    <row r="40" spans="1:6" ht="18" customHeight="1" x14ac:dyDescent="0.3">
      <c r="A40" s="642" t="s">
        <v>145</v>
      </c>
      <c r="B40" s="711" t="s">
        <v>65</v>
      </c>
      <c r="C40" s="646">
        <v>642800</v>
      </c>
      <c r="D40" s="641">
        <f t="shared" si="0"/>
        <v>674940</v>
      </c>
      <c r="E40" s="641">
        <f t="shared" si="0"/>
        <v>708687</v>
      </c>
    </row>
    <row r="41" spans="1:6" ht="18" customHeight="1" x14ac:dyDescent="0.3">
      <c r="A41" s="640" t="s">
        <v>286</v>
      </c>
      <c r="B41" s="710" t="s">
        <v>69</v>
      </c>
      <c r="C41" s="648">
        <v>1798000</v>
      </c>
      <c r="D41" s="641">
        <f t="shared" si="0"/>
        <v>1887900</v>
      </c>
      <c r="E41" s="641">
        <f t="shared" si="0"/>
        <v>1982295</v>
      </c>
    </row>
    <row r="42" spans="1:6" ht="18" customHeight="1" x14ac:dyDescent="0.3">
      <c r="A42" s="642" t="s">
        <v>554</v>
      </c>
      <c r="B42" s="711" t="s">
        <v>416</v>
      </c>
      <c r="C42" s="646">
        <v>0</v>
      </c>
      <c r="D42" s="641">
        <f t="shared" si="0"/>
        <v>0</v>
      </c>
      <c r="E42" s="641">
        <f t="shared" si="0"/>
        <v>0</v>
      </c>
    </row>
    <row r="43" spans="1:6" ht="18" customHeight="1" x14ac:dyDescent="0.3">
      <c r="A43" s="640" t="s">
        <v>555</v>
      </c>
      <c r="B43" s="710" t="s">
        <v>556</v>
      </c>
      <c r="C43" s="654">
        <v>1500000</v>
      </c>
      <c r="D43" s="641">
        <f t="shared" si="0"/>
        <v>1575000</v>
      </c>
      <c r="E43" s="641">
        <f t="shared" si="0"/>
        <v>1653750</v>
      </c>
    </row>
    <row r="44" spans="1:6" ht="18" customHeight="1" x14ac:dyDescent="0.3">
      <c r="A44" s="640" t="s">
        <v>557</v>
      </c>
      <c r="B44" s="710" t="s">
        <v>558</v>
      </c>
      <c r="C44" s="655">
        <f>-3779915+4050400</f>
        <v>270485</v>
      </c>
      <c r="D44" s="641">
        <f>C44*1.05</f>
        <v>284009.25</v>
      </c>
      <c r="E44" s="641">
        <f t="shared" si="0"/>
        <v>298209.71250000002</v>
      </c>
    </row>
    <row r="45" spans="1:6" ht="18" customHeight="1" x14ac:dyDescent="0.3">
      <c r="A45" s="640" t="s">
        <v>559</v>
      </c>
      <c r="B45" s="710" t="s">
        <v>560</v>
      </c>
      <c r="C45" s="654">
        <v>0</v>
      </c>
      <c r="D45" s="641">
        <f t="shared" si="0"/>
        <v>0</v>
      </c>
      <c r="E45" s="641">
        <f t="shared" si="0"/>
        <v>0</v>
      </c>
    </row>
    <row r="46" spans="1:6" ht="18" customHeight="1" x14ac:dyDescent="0.3">
      <c r="A46" s="644">
        <v>3111000</v>
      </c>
      <c r="B46" s="465" t="s">
        <v>82</v>
      </c>
      <c r="C46" s="649">
        <f>SUM(C47:C48)</f>
        <v>1305400</v>
      </c>
      <c r="D46" s="459">
        <f t="shared" si="0"/>
        <v>1370670</v>
      </c>
      <c r="E46" s="459">
        <f t="shared" si="0"/>
        <v>1439203.5</v>
      </c>
    </row>
    <row r="47" spans="1:6" ht="18" customHeight="1" x14ac:dyDescent="0.3">
      <c r="A47" s="640">
        <v>3111001</v>
      </c>
      <c r="B47" s="711" t="s">
        <v>561</v>
      </c>
      <c r="C47" s="646">
        <v>751400</v>
      </c>
      <c r="D47" s="641">
        <f>C47*1.05</f>
        <v>788970</v>
      </c>
      <c r="E47" s="641">
        <f t="shared" si="0"/>
        <v>828418.5</v>
      </c>
      <c r="F47" s="656">
        <v>50690039</v>
      </c>
    </row>
    <row r="48" spans="1:6" ht="18" customHeight="1" x14ac:dyDescent="0.3">
      <c r="A48" s="642">
        <v>3111002</v>
      </c>
      <c r="B48" s="711" t="s">
        <v>83</v>
      </c>
      <c r="C48" s="646">
        <v>554000</v>
      </c>
      <c r="D48" s="641">
        <f t="shared" si="0"/>
        <v>581700</v>
      </c>
      <c r="E48" s="641">
        <f t="shared" si="0"/>
        <v>610785</v>
      </c>
      <c r="F48" s="656">
        <v>21433032</v>
      </c>
    </row>
    <row r="49" spans="1:6" ht="18" customHeight="1" x14ac:dyDescent="0.3">
      <c r="A49" s="644">
        <v>2220200</v>
      </c>
      <c r="B49" s="465" t="s">
        <v>73</v>
      </c>
      <c r="C49" s="645">
        <f>SUM(C50:C52)</f>
        <v>836614</v>
      </c>
      <c r="D49" s="459">
        <f t="shared" si="0"/>
        <v>878444.70000000007</v>
      </c>
      <c r="E49" s="459">
        <f t="shared" si="0"/>
        <v>922366.93500000006</v>
      </c>
    </row>
    <row r="50" spans="1:6" ht="18" customHeight="1" x14ac:dyDescent="0.3">
      <c r="A50" s="642">
        <v>2220101</v>
      </c>
      <c r="B50" s="711" t="s">
        <v>72</v>
      </c>
      <c r="C50" s="646">
        <v>574011</v>
      </c>
      <c r="D50" s="641">
        <f t="shared" si="0"/>
        <v>602711.55000000005</v>
      </c>
      <c r="E50" s="641">
        <f t="shared" si="0"/>
        <v>632847.12750000006</v>
      </c>
    </row>
    <row r="51" spans="1:6" ht="18" customHeight="1" x14ac:dyDescent="0.3">
      <c r="A51" s="640" t="s">
        <v>270</v>
      </c>
      <c r="B51" s="710" t="s">
        <v>75</v>
      </c>
      <c r="C51" s="646">
        <v>0</v>
      </c>
      <c r="D51" s="641">
        <f t="shared" si="0"/>
        <v>0</v>
      </c>
      <c r="E51" s="641">
        <f t="shared" si="0"/>
        <v>0</v>
      </c>
    </row>
    <row r="52" spans="1:6" ht="17.399999999999999" customHeight="1" x14ac:dyDescent="0.3">
      <c r="A52" s="642" t="s">
        <v>242</v>
      </c>
      <c r="B52" s="711" t="s">
        <v>77</v>
      </c>
      <c r="C52" s="646">
        <v>262603</v>
      </c>
      <c r="D52" s="641">
        <f t="shared" si="0"/>
        <v>275733.15000000002</v>
      </c>
      <c r="E52" s="641">
        <f t="shared" si="0"/>
        <v>289519.80750000005</v>
      </c>
    </row>
    <row r="53" spans="1:6" ht="18" customHeight="1" x14ac:dyDescent="0.3">
      <c r="A53" s="168"/>
      <c r="B53" s="464" t="s">
        <v>406</v>
      </c>
      <c r="C53" s="657">
        <f>C49+C46+C38+C33+C31+C28+C25+C21+C18+C14+C10+C7+C3+C36</f>
        <v>46910124</v>
      </c>
      <c r="D53" s="459">
        <f t="shared" si="0"/>
        <v>49255630.200000003</v>
      </c>
      <c r="E53" s="459">
        <f t="shared" si="0"/>
        <v>51718411.710000008</v>
      </c>
      <c r="F53" s="658">
        <v>40085281.200000003</v>
      </c>
    </row>
    <row r="54" spans="1:6" ht="18" customHeight="1" x14ac:dyDescent="0.3">
      <c r="A54" s="168"/>
      <c r="B54" s="464" t="s">
        <v>385</v>
      </c>
      <c r="C54" s="661"/>
      <c r="D54" s="459"/>
      <c r="E54" s="459"/>
      <c r="F54" s="660"/>
    </row>
    <row r="55" spans="1:6" ht="18" customHeight="1" x14ac:dyDescent="0.3">
      <c r="A55" s="168">
        <v>3110500</v>
      </c>
      <c r="B55" s="464" t="s">
        <v>661</v>
      </c>
      <c r="C55" s="661">
        <f>C56</f>
        <v>16018306.4</v>
      </c>
      <c r="D55" s="459">
        <f>C55*1.05</f>
        <v>16819221.720000003</v>
      </c>
      <c r="E55" s="459">
        <f>D55*1.05</f>
        <v>17660182.806000002</v>
      </c>
      <c r="F55" s="660"/>
    </row>
    <row r="56" spans="1:6" ht="18" customHeight="1" x14ac:dyDescent="0.3">
      <c r="A56" s="168">
        <v>31105504</v>
      </c>
      <c r="B56" s="69" t="s">
        <v>680</v>
      </c>
      <c r="C56" s="659">
        <f>-5000000+21433032-1071651.6+656926</f>
        <v>16018306.4</v>
      </c>
      <c r="D56" s="459">
        <f t="shared" ref="D56:E58" si="1">C56*1.05</f>
        <v>16819221.720000003</v>
      </c>
      <c r="E56" s="459">
        <f t="shared" si="1"/>
        <v>17660182.806000002</v>
      </c>
      <c r="F56" s="660"/>
    </row>
    <row r="57" spans="1:6" ht="18" customHeight="1" x14ac:dyDescent="0.3">
      <c r="A57" s="168"/>
      <c r="B57" s="72" t="s">
        <v>160</v>
      </c>
      <c r="C57" s="661">
        <f>C55</f>
        <v>16018306.4</v>
      </c>
      <c r="D57" s="459">
        <f t="shared" si="1"/>
        <v>16819221.720000003</v>
      </c>
      <c r="E57" s="459">
        <f t="shared" si="1"/>
        <v>17660182.806000002</v>
      </c>
      <c r="F57" s="660"/>
    </row>
    <row r="58" spans="1:6" ht="18" customHeight="1" x14ac:dyDescent="0.3">
      <c r="A58" s="713"/>
      <c r="B58" s="28" t="s">
        <v>1277</v>
      </c>
      <c r="C58" s="661">
        <f>C53+C55</f>
        <v>62928430.399999999</v>
      </c>
      <c r="D58" s="459">
        <f>C58*1.05</f>
        <v>66074851.920000002</v>
      </c>
      <c r="E58" s="459">
        <f t="shared" si="1"/>
        <v>69378594.516000003</v>
      </c>
    </row>
    <row r="59" spans="1:6" ht="18" customHeight="1" x14ac:dyDescent="0.3">
      <c r="A59" s="714"/>
      <c r="B59" s="28" t="s">
        <v>1193</v>
      </c>
      <c r="C59" s="714">
        <v>0</v>
      </c>
      <c r="D59" s="714">
        <v>0</v>
      </c>
      <c r="E59" s="714">
        <v>0</v>
      </c>
    </row>
    <row r="60" spans="1:6" ht="18" customHeight="1" x14ac:dyDescent="0.3">
      <c r="A60" s="714"/>
      <c r="B60" s="156" t="s">
        <v>1278</v>
      </c>
      <c r="C60" s="715">
        <f>C58-C59</f>
        <v>62928430.399999999</v>
      </c>
      <c r="D60" s="715">
        <f t="shared" ref="D60:E60" si="2">D58-D59</f>
        <v>66074851.920000002</v>
      </c>
      <c r="E60" s="715">
        <f t="shared" si="2"/>
        <v>69378594.516000003</v>
      </c>
    </row>
    <row r="61" spans="1:6" ht="18" customHeight="1" x14ac:dyDescent="0.3"/>
    <row r="63" spans="1:6" ht="15.65" x14ac:dyDescent="0.3">
      <c r="C63" s="155">
        <v>656926.93561935425</v>
      </c>
    </row>
  </sheetData>
  <protectedRanges>
    <protectedRange password="C43E" sqref="A4:B4" name="Range1_25_2_2_4"/>
    <protectedRange password="C43E" sqref="A5:B5" name="Range1_26_2_2_4"/>
    <protectedRange password="C43E" sqref="A6:B6" name="Range1_28_2_2_4"/>
    <protectedRange password="C43E" sqref="A8:B9" name="Range1_29_2_2_4"/>
    <protectedRange password="C43E" sqref="A11:B13" name="Range1_30_2_2_4"/>
    <protectedRange password="C43E" sqref="A15:B15 B19" name="Range1_31_2_2_4"/>
    <protectedRange password="C43E" sqref="A16:B16 A19 A20:B20" name="Range1_32_2_2_4"/>
    <protectedRange password="C43E" sqref="A17:B17" name="Range1_33_2_2_4"/>
    <protectedRange password="C43E" sqref="A22:B24" name="Range1_35_2_2_4"/>
    <protectedRange password="C43E" sqref="A26:B27" name="Range1_36_2_2_4"/>
    <protectedRange password="C43E" sqref="A29:B30" name="Range1_37_2_2_4"/>
    <protectedRange password="C43E" sqref="A32:B32" name="Range1_38_2_2_4"/>
    <protectedRange password="C43E" sqref="A34:B34" name="Range1_39_2_2_4"/>
    <protectedRange password="C43E" sqref="A35:B35 A37:B37" name="Range1_40_2_2_4"/>
    <protectedRange password="C43E" sqref="A39:B40" name="Range1_41_2_2_4"/>
    <protectedRange password="C43E" sqref="A41:B43" name="Range1_42_2_2_4"/>
    <protectedRange password="C43E" sqref="A50:B50" name="Range1_43_2_2_4"/>
    <protectedRange password="C43E" sqref="A51:B51" name="Range1_44_2_2_4"/>
    <protectedRange password="C43E" sqref="B47 A52:B52" name="Range1_45_2_2_4"/>
    <protectedRange password="C43E" sqref="A44:B44" name="Range1_46_2_2_4"/>
    <protectedRange password="C43E" sqref="A45:B45 A47" name="Range1_48_2_2_4"/>
    <protectedRange password="C43E" sqref="A48:B48" name="Range1_49_2_2_4"/>
    <protectedRange password="C43E" sqref="C6:C7" name="Range1_28_2_2_6"/>
    <protectedRange password="C43E" sqref="C10" name="Range1_29_2_2_6"/>
    <protectedRange password="C43E" sqref="C14" name="Range1_30_2_2_6"/>
    <protectedRange password="C43E" sqref="C19:C21" name="Range1_32_2_2_6"/>
    <protectedRange password="C43E" sqref="C18" name="Range1_33_2_2_6"/>
    <protectedRange password="C43E" sqref="C25" name="Range1_35_2_2_6"/>
    <protectedRange password="C43E" sqref="C28" name="Range1_36_2_2_6"/>
    <protectedRange password="C43E" sqref="C31" name="Range1_37_2_2_6"/>
    <protectedRange password="C43E" sqref="C43" name="Range1_42_2_2_6"/>
    <protectedRange password="C43E" sqref="C44" name="Range1_46_2_2_6"/>
    <protectedRange password="C43E" sqref="C45:C46" name="Range1_48_2_2_6"/>
    <protectedRange password="C43E" sqref="C49" name="Range1_49_2_2_6"/>
    <protectedRange password="C43E" sqref="C4" name="Range1_25_2_3"/>
    <protectedRange password="C43E" sqref="C5" name="Range1_26_2_3"/>
    <protectedRange password="C43E" sqref="C36" name="Range1_40_2_3"/>
  </protectedRanges>
  <mergeCells count="1">
    <mergeCell ref="A1:B1"/>
  </mergeCells>
  <pageMargins left="0.7" right="0.7" top="0.75" bottom="0.75" header="0.3" footer="0.3"/>
  <pageSetup scale="66" orientation="portrait" r:id="rId1"/>
  <colBreaks count="1" manualBreakCount="1">
    <brk id="5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69"/>
  <sheetViews>
    <sheetView view="pageBreakPreview" topLeftCell="A141" zoomScale="60" zoomScaleNormal="92" workbookViewId="0">
      <selection activeCell="H156" sqref="H156"/>
    </sheetView>
  </sheetViews>
  <sheetFormatPr defaultColWidth="36.54296875" defaultRowHeight="15.5" x14ac:dyDescent="0.35"/>
  <cols>
    <col min="1" max="1" width="15.81640625" style="3" customWidth="1"/>
    <col min="2" max="2" width="44.81640625" style="1" customWidth="1"/>
    <col min="3" max="3" width="19.90625" style="2" customWidth="1"/>
    <col min="4" max="4" width="19.90625" style="1" customWidth="1"/>
    <col min="5" max="5" width="20.54296875" style="1" customWidth="1"/>
    <col min="6" max="6" width="16.1796875" style="6" customWidth="1"/>
    <col min="7" max="16384" width="36.54296875" style="6"/>
  </cols>
  <sheetData>
    <row r="1" spans="1:7" s="13" customFormat="1" ht="28.25" x14ac:dyDescent="0.3">
      <c r="A1" s="32"/>
      <c r="B1" s="33" t="s">
        <v>1165</v>
      </c>
      <c r="C1" s="33"/>
      <c r="D1" s="33"/>
      <c r="E1" s="33"/>
    </row>
    <row r="2" spans="1:7" s="5" customFormat="1" ht="70.5" customHeight="1" x14ac:dyDescent="0.3">
      <c r="A2" s="34" t="s">
        <v>0</v>
      </c>
      <c r="B2" s="35" t="s">
        <v>620</v>
      </c>
      <c r="C2" s="36" t="s">
        <v>1018</v>
      </c>
      <c r="D2" s="37" t="s">
        <v>679</v>
      </c>
      <c r="E2" s="37" t="s">
        <v>1016</v>
      </c>
    </row>
    <row r="3" spans="1:7" s="5" customFormat="1" ht="15.65" x14ac:dyDescent="0.3">
      <c r="A3" s="34">
        <v>2110000</v>
      </c>
      <c r="B3" s="35" t="s">
        <v>1166</v>
      </c>
      <c r="C3" s="56"/>
      <c r="D3" s="185"/>
      <c r="E3" s="55"/>
    </row>
    <row r="4" spans="1:7" s="5" customFormat="1" ht="15.65" x14ac:dyDescent="0.3">
      <c r="A4" s="34">
        <v>2110100</v>
      </c>
      <c r="B4" s="35" t="s">
        <v>186</v>
      </c>
      <c r="C4" s="55">
        <f>C5</f>
        <v>188547696</v>
      </c>
      <c r="D4" s="55">
        <f>C4*105%</f>
        <v>197975080.80000001</v>
      </c>
      <c r="E4" s="55">
        <f>D4*105%</f>
        <v>207873834.84000003</v>
      </c>
    </row>
    <row r="5" spans="1:7" ht="15.65" x14ac:dyDescent="0.3">
      <c r="A5" s="42">
        <v>2110116</v>
      </c>
      <c r="B5" s="43" t="s">
        <v>621</v>
      </c>
      <c r="C5" s="44">
        <v>188547696</v>
      </c>
      <c r="D5" s="186">
        <f t="shared" ref="D5:E68" si="0">C5*105%</f>
        <v>197975080.80000001</v>
      </c>
      <c r="E5" s="186">
        <f t="shared" si="0"/>
        <v>207873834.84000003</v>
      </c>
    </row>
    <row r="6" spans="1:7" s="5" customFormat="1" ht="15.65" x14ac:dyDescent="0.3">
      <c r="A6" s="34">
        <v>2110200</v>
      </c>
      <c r="B6" s="35" t="s">
        <v>622</v>
      </c>
      <c r="C6" s="55">
        <f>C7+C8+C9</f>
        <v>48928560</v>
      </c>
      <c r="D6" s="55">
        <f t="shared" si="0"/>
        <v>51374988</v>
      </c>
      <c r="E6" s="55">
        <f t="shared" si="0"/>
        <v>53943737.400000006</v>
      </c>
    </row>
    <row r="7" spans="1:7" ht="15.65" x14ac:dyDescent="0.3">
      <c r="A7" s="42">
        <v>2110201</v>
      </c>
      <c r="B7" s="43" t="s">
        <v>1167</v>
      </c>
      <c r="C7" s="44">
        <v>40720560</v>
      </c>
      <c r="D7" s="186">
        <f t="shared" si="0"/>
        <v>42756588</v>
      </c>
      <c r="E7" s="186">
        <f t="shared" si="0"/>
        <v>44894417.399999999</v>
      </c>
      <c r="F7" s="14"/>
    </row>
    <row r="8" spans="1:7" ht="15.65" x14ac:dyDescent="0.3">
      <c r="A8" s="42">
        <v>2110202</v>
      </c>
      <c r="B8" s="43" t="s">
        <v>8</v>
      </c>
      <c r="C8" s="44">
        <v>2208000</v>
      </c>
      <c r="D8" s="186">
        <f t="shared" si="0"/>
        <v>2318400</v>
      </c>
      <c r="E8" s="186">
        <f t="shared" si="0"/>
        <v>2434320</v>
      </c>
      <c r="F8" s="14"/>
    </row>
    <row r="9" spans="1:7" ht="15.65" x14ac:dyDescent="0.3">
      <c r="A9" s="42">
        <v>2110299</v>
      </c>
      <c r="B9" s="43" t="s">
        <v>1168</v>
      </c>
      <c r="C9" s="44">
        <v>6000000</v>
      </c>
      <c r="D9" s="186">
        <f t="shared" si="0"/>
        <v>6300000</v>
      </c>
      <c r="E9" s="186">
        <f t="shared" si="0"/>
        <v>6615000</v>
      </c>
      <c r="G9" s="10"/>
    </row>
    <row r="10" spans="1:7" s="16" customFormat="1" ht="15.65" x14ac:dyDescent="0.3">
      <c r="A10" s="38">
        <v>2110300</v>
      </c>
      <c r="B10" s="46" t="s">
        <v>290</v>
      </c>
      <c r="C10" s="40">
        <f>C11+C12+C13+C14+C15+C16+C17+C18+C19+C20+C21+C22</f>
        <v>193108296</v>
      </c>
      <c r="D10" s="55">
        <f t="shared" si="0"/>
        <v>202763710.80000001</v>
      </c>
      <c r="E10" s="55">
        <f t="shared" si="0"/>
        <v>212901896.34000003</v>
      </c>
      <c r="F10" s="15"/>
    </row>
    <row r="11" spans="1:7" ht="15.65" x14ac:dyDescent="0.3">
      <c r="A11" s="42">
        <v>2110301</v>
      </c>
      <c r="B11" s="43" t="s">
        <v>10</v>
      </c>
      <c r="C11" s="44">
        <v>64584900</v>
      </c>
      <c r="D11" s="186">
        <f t="shared" si="0"/>
        <v>67814145</v>
      </c>
      <c r="E11" s="41">
        <f t="shared" si="0"/>
        <v>71204852.25</v>
      </c>
      <c r="F11" s="14"/>
    </row>
    <row r="12" spans="1:7" ht="15.65" x14ac:dyDescent="0.3">
      <c r="A12" s="42">
        <v>2110303</v>
      </c>
      <c r="B12" s="43" t="s">
        <v>623</v>
      </c>
      <c r="C12" s="45">
        <v>0</v>
      </c>
      <c r="D12" s="186">
        <f t="shared" si="0"/>
        <v>0</v>
      </c>
      <c r="E12" s="41">
        <f t="shared" si="0"/>
        <v>0</v>
      </c>
    </row>
    <row r="13" spans="1:7" ht="15.65" x14ac:dyDescent="0.3">
      <c r="A13" s="42">
        <v>2110304</v>
      </c>
      <c r="B13" s="43" t="s">
        <v>624</v>
      </c>
      <c r="C13" s="45">
        <v>328800</v>
      </c>
      <c r="D13" s="186">
        <f t="shared" si="0"/>
        <v>345240</v>
      </c>
      <c r="E13" s="41">
        <f t="shared" si="0"/>
        <v>362502</v>
      </c>
    </row>
    <row r="14" spans="1:7" ht="15.65" x14ac:dyDescent="0.3">
      <c r="A14" s="42">
        <v>2110310</v>
      </c>
      <c r="B14" s="43" t="s">
        <v>625</v>
      </c>
      <c r="C14" s="45">
        <v>466200</v>
      </c>
      <c r="D14" s="186">
        <f t="shared" si="0"/>
        <v>489510</v>
      </c>
      <c r="E14" s="41">
        <f t="shared" si="0"/>
        <v>513985.5</v>
      </c>
    </row>
    <row r="15" spans="1:7" ht="15.65" x14ac:dyDescent="0.3">
      <c r="A15" s="42">
        <v>2110312</v>
      </c>
      <c r="B15" s="43" t="s">
        <v>600</v>
      </c>
      <c r="C15" s="45">
        <v>12564000</v>
      </c>
      <c r="D15" s="186">
        <f t="shared" si="0"/>
        <v>13192200</v>
      </c>
      <c r="E15" s="41">
        <f t="shared" si="0"/>
        <v>13851810</v>
      </c>
    </row>
    <row r="16" spans="1:7" ht="15.65" x14ac:dyDescent="0.3">
      <c r="A16" s="42">
        <v>2110313</v>
      </c>
      <c r="B16" s="43" t="s">
        <v>626</v>
      </c>
      <c r="C16" s="45">
        <v>0</v>
      </c>
      <c r="D16" s="186">
        <f t="shared" si="0"/>
        <v>0</v>
      </c>
      <c r="E16" s="41">
        <f t="shared" si="0"/>
        <v>0</v>
      </c>
    </row>
    <row r="17" spans="1:6" ht="15.65" x14ac:dyDescent="0.3">
      <c r="A17" s="42">
        <v>2110314</v>
      </c>
      <c r="B17" s="43" t="s">
        <v>562</v>
      </c>
      <c r="C17" s="45">
        <v>39745548</v>
      </c>
      <c r="D17" s="186">
        <f t="shared" si="0"/>
        <v>41732825.399999999</v>
      </c>
      <c r="E17" s="41">
        <f t="shared" si="0"/>
        <v>43819466.670000002</v>
      </c>
      <c r="F17" s="14"/>
    </row>
    <row r="18" spans="1:6" ht="15.65" x14ac:dyDescent="0.3">
      <c r="A18" s="42">
        <v>2110317</v>
      </c>
      <c r="B18" s="43" t="s">
        <v>1169</v>
      </c>
      <c r="C18" s="45">
        <v>0</v>
      </c>
      <c r="D18" s="186">
        <f t="shared" si="0"/>
        <v>0</v>
      </c>
      <c r="E18" s="41">
        <f t="shared" si="0"/>
        <v>0</v>
      </c>
    </row>
    <row r="19" spans="1:6" ht="15.65" x14ac:dyDescent="0.3">
      <c r="A19" s="42">
        <v>2110320</v>
      </c>
      <c r="B19" s="43" t="s">
        <v>293</v>
      </c>
      <c r="C19" s="45">
        <v>870000</v>
      </c>
      <c r="D19" s="186">
        <f t="shared" si="0"/>
        <v>913500</v>
      </c>
      <c r="E19" s="41">
        <f t="shared" si="0"/>
        <v>959175</v>
      </c>
    </row>
    <row r="20" spans="1:6" ht="15.65" x14ac:dyDescent="0.3">
      <c r="A20" s="42">
        <v>2110321</v>
      </c>
      <c r="B20" s="43" t="s">
        <v>604</v>
      </c>
      <c r="C20" s="45">
        <v>3106500</v>
      </c>
      <c r="D20" s="186">
        <f t="shared" si="0"/>
        <v>3261825</v>
      </c>
      <c r="E20" s="41">
        <f t="shared" si="0"/>
        <v>3424916.25</v>
      </c>
    </row>
    <row r="21" spans="1:6" ht="15.65" x14ac:dyDescent="0.3">
      <c r="A21" s="42">
        <v>2110328</v>
      </c>
      <c r="B21" s="43" t="s">
        <v>627</v>
      </c>
      <c r="C21" s="45">
        <v>56352000</v>
      </c>
      <c r="D21" s="186">
        <f t="shared" si="0"/>
        <v>59169600</v>
      </c>
      <c r="E21" s="41">
        <f t="shared" si="0"/>
        <v>62128080</v>
      </c>
      <c r="F21" s="14"/>
    </row>
    <row r="22" spans="1:6" ht="15.65" x14ac:dyDescent="0.3">
      <c r="A22" s="42">
        <v>2110399</v>
      </c>
      <c r="B22" s="43" t="s">
        <v>1170</v>
      </c>
      <c r="C22" s="45">
        <v>15090348</v>
      </c>
      <c r="D22" s="186">
        <f t="shared" si="0"/>
        <v>15844865.4</v>
      </c>
      <c r="E22" s="186">
        <f t="shared" si="0"/>
        <v>16637108.670000002</v>
      </c>
      <c r="F22" s="14"/>
    </row>
    <row r="23" spans="1:6" s="16" customFormat="1" ht="15.65" x14ac:dyDescent="0.3">
      <c r="A23" s="38">
        <v>2110400</v>
      </c>
      <c r="B23" s="46" t="s">
        <v>628</v>
      </c>
      <c r="C23" s="40">
        <f>C24</f>
        <v>3996000</v>
      </c>
      <c r="D23" s="55">
        <f t="shared" si="0"/>
        <v>4195800</v>
      </c>
      <c r="E23" s="40">
        <f t="shared" si="0"/>
        <v>4405590</v>
      </c>
    </row>
    <row r="24" spans="1:6" s="11" customFormat="1" ht="15.65" x14ac:dyDescent="0.3">
      <c r="A24" s="25">
        <v>2110405</v>
      </c>
      <c r="B24" s="24" t="s">
        <v>629</v>
      </c>
      <c r="C24" s="45">
        <v>3996000</v>
      </c>
      <c r="D24" s="186">
        <f t="shared" si="0"/>
        <v>4195800</v>
      </c>
      <c r="E24" s="41">
        <f t="shared" si="0"/>
        <v>4405590</v>
      </c>
    </row>
    <row r="25" spans="1:6" s="16" customFormat="1" ht="28.25" x14ac:dyDescent="0.3">
      <c r="A25" s="38">
        <v>2120100</v>
      </c>
      <c r="B25" s="46" t="s">
        <v>18</v>
      </c>
      <c r="C25" s="40">
        <f>C26+C27</f>
        <v>48352948</v>
      </c>
      <c r="D25" s="55">
        <f t="shared" si="0"/>
        <v>50770595.399999999</v>
      </c>
      <c r="E25" s="40">
        <f t="shared" si="0"/>
        <v>53309125.170000002</v>
      </c>
    </row>
    <row r="26" spans="1:6" s="11" customFormat="1" ht="28.25" x14ac:dyDescent="0.3">
      <c r="A26" s="25">
        <v>2120101</v>
      </c>
      <c r="B26" s="30" t="s">
        <v>630</v>
      </c>
      <c r="C26" s="45">
        <v>9847524</v>
      </c>
      <c r="D26" s="186">
        <f t="shared" si="0"/>
        <v>10339900.200000001</v>
      </c>
      <c r="E26" s="41">
        <f t="shared" si="0"/>
        <v>10856895.210000001</v>
      </c>
    </row>
    <row r="27" spans="1:6" s="11" customFormat="1" ht="28.25" x14ac:dyDescent="0.3">
      <c r="A27" s="25">
        <v>2120103</v>
      </c>
      <c r="B27" s="30" t="s">
        <v>631</v>
      </c>
      <c r="C27" s="45">
        <v>38505424</v>
      </c>
      <c r="D27" s="186">
        <f t="shared" si="0"/>
        <v>40430695.200000003</v>
      </c>
      <c r="E27" s="41">
        <f t="shared" si="0"/>
        <v>42452229.960000008</v>
      </c>
    </row>
    <row r="28" spans="1:6" s="16" customFormat="1" ht="15.65" x14ac:dyDescent="0.3">
      <c r="A28" s="38">
        <v>2210000</v>
      </c>
      <c r="B28" s="39" t="s">
        <v>632</v>
      </c>
      <c r="C28" s="47"/>
      <c r="D28" s="55">
        <f t="shared" si="0"/>
        <v>0</v>
      </c>
      <c r="E28" s="40">
        <f t="shared" si="0"/>
        <v>0</v>
      </c>
    </row>
    <row r="29" spans="1:6" s="16" customFormat="1" ht="15.65" x14ac:dyDescent="0.3">
      <c r="A29" s="38">
        <v>2210100</v>
      </c>
      <c r="B29" s="39" t="s">
        <v>23</v>
      </c>
      <c r="C29" s="40">
        <f>C30+C31+C32</f>
        <v>2750000</v>
      </c>
      <c r="D29" s="55">
        <f t="shared" si="0"/>
        <v>2887500</v>
      </c>
      <c r="E29" s="40">
        <f t="shared" si="0"/>
        <v>3031875</v>
      </c>
    </row>
    <row r="30" spans="1:6" s="11" customFormat="1" ht="15.65" x14ac:dyDescent="0.3">
      <c r="A30" s="25">
        <v>2210101</v>
      </c>
      <c r="B30" s="24" t="s">
        <v>102</v>
      </c>
      <c r="C30" s="45">
        <v>2000000</v>
      </c>
      <c r="D30" s="186">
        <f t="shared" si="0"/>
        <v>2100000</v>
      </c>
      <c r="E30" s="41">
        <f t="shared" si="0"/>
        <v>2205000</v>
      </c>
    </row>
    <row r="31" spans="1:6" s="11" customFormat="1" ht="15.65" x14ac:dyDescent="0.3">
      <c r="A31" s="25">
        <v>2210102</v>
      </c>
      <c r="B31" s="24" t="s">
        <v>104</v>
      </c>
      <c r="C31" s="45">
        <v>600000</v>
      </c>
      <c r="D31" s="186">
        <f t="shared" si="0"/>
        <v>630000</v>
      </c>
      <c r="E31" s="41">
        <f t="shared" si="0"/>
        <v>661500</v>
      </c>
    </row>
    <row r="32" spans="1:6" s="11" customFormat="1" ht="15.65" x14ac:dyDescent="0.3">
      <c r="A32" s="25">
        <v>2210103</v>
      </c>
      <c r="B32" s="24" t="s">
        <v>633</v>
      </c>
      <c r="C32" s="45">
        <v>150000</v>
      </c>
      <c r="D32" s="186">
        <f t="shared" si="0"/>
        <v>157500</v>
      </c>
      <c r="E32" s="41">
        <f t="shared" si="0"/>
        <v>165375</v>
      </c>
    </row>
    <row r="33" spans="1:6" s="16" customFormat="1" ht="15.65" x14ac:dyDescent="0.3">
      <c r="A33" s="38">
        <v>2210200</v>
      </c>
      <c r="B33" s="39" t="s">
        <v>194</v>
      </c>
      <c r="C33" s="40">
        <f>C34+C35+C36+C37</f>
        <v>6997000</v>
      </c>
      <c r="D33" s="55">
        <f t="shared" si="0"/>
        <v>7346850</v>
      </c>
      <c r="E33" s="40">
        <f t="shared" si="0"/>
        <v>7714192.5</v>
      </c>
    </row>
    <row r="34" spans="1:6" s="11" customFormat="1" ht="28.25" x14ac:dyDescent="0.3">
      <c r="A34" s="25">
        <v>2210201</v>
      </c>
      <c r="B34" s="30" t="s">
        <v>634</v>
      </c>
      <c r="C34" s="45">
        <v>420000</v>
      </c>
      <c r="D34" s="186">
        <f t="shared" si="0"/>
        <v>441000</v>
      </c>
      <c r="E34" s="41">
        <f t="shared" si="0"/>
        <v>463050</v>
      </c>
    </row>
    <row r="35" spans="1:6" s="11" customFormat="1" ht="15.65" x14ac:dyDescent="0.3">
      <c r="A35" s="25">
        <v>2210202</v>
      </c>
      <c r="B35" s="24" t="s">
        <v>247</v>
      </c>
      <c r="C35" s="45">
        <v>2000000</v>
      </c>
      <c r="D35" s="186">
        <f t="shared" si="0"/>
        <v>2100000</v>
      </c>
      <c r="E35" s="41">
        <f t="shared" si="0"/>
        <v>2205000</v>
      </c>
    </row>
    <row r="36" spans="1:6" s="11" customFormat="1" ht="15.65" x14ac:dyDescent="0.3">
      <c r="A36" s="25">
        <v>2210203</v>
      </c>
      <c r="B36" s="24" t="s">
        <v>29</v>
      </c>
      <c r="C36" s="45">
        <v>124000</v>
      </c>
      <c r="D36" s="186">
        <f t="shared" si="0"/>
        <v>130200</v>
      </c>
      <c r="E36" s="41">
        <f t="shared" si="0"/>
        <v>136710</v>
      </c>
    </row>
    <row r="37" spans="1:6" s="11" customFormat="1" ht="15.65" x14ac:dyDescent="0.3">
      <c r="A37" s="25">
        <v>2210299</v>
      </c>
      <c r="B37" s="24" t="s">
        <v>635</v>
      </c>
      <c r="C37" s="45">
        <v>4453000</v>
      </c>
      <c r="D37" s="186">
        <f t="shared" si="0"/>
        <v>4675650</v>
      </c>
      <c r="E37" s="41">
        <f t="shared" si="0"/>
        <v>4909432.5</v>
      </c>
    </row>
    <row r="38" spans="1:6" s="16" customFormat="1" ht="28.25" x14ac:dyDescent="0.3">
      <c r="A38" s="38">
        <v>2210300</v>
      </c>
      <c r="B38" s="46" t="s">
        <v>30</v>
      </c>
      <c r="C38" s="40">
        <f>C39+C40+C41+C42+C43+C44+C45</f>
        <v>118197900</v>
      </c>
      <c r="D38" s="55">
        <f t="shared" si="0"/>
        <v>124107795</v>
      </c>
      <c r="E38" s="40">
        <f t="shared" si="0"/>
        <v>130313184.75</v>
      </c>
    </row>
    <row r="39" spans="1:6" s="12" customFormat="1" ht="28.25" x14ac:dyDescent="0.3">
      <c r="A39" s="48">
        <v>2210301</v>
      </c>
      <c r="B39" s="49" t="s">
        <v>636</v>
      </c>
      <c r="C39" s="44">
        <v>5300000</v>
      </c>
      <c r="D39" s="186">
        <f t="shared" si="0"/>
        <v>5565000</v>
      </c>
      <c r="E39" s="41">
        <f t="shared" si="0"/>
        <v>5843250</v>
      </c>
    </row>
    <row r="40" spans="1:6" s="11" customFormat="1" ht="15.65" x14ac:dyDescent="0.3">
      <c r="A40" s="25">
        <v>2210302</v>
      </c>
      <c r="B40" s="24" t="s">
        <v>113</v>
      </c>
      <c r="C40" s="45">
        <v>1075200</v>
      </c>
      <c r="D40" s="186">
        <f t="shared" si="0"/>
        <v>1128960</v>
      </c>
      <c r="E40" s="41">
        <f t="shared" si="0"/>
        <v>1185408</v>
      </c>
    </row>
    <row r="41" spans="1:6" s="11" customFormat="1" ht="15.65" x14ac:dyDescent="0.3">
      <c r="A41" s="25">
        <v>2210303</v>
      </c>
      <c r="B41" s="24" t="s">
        <v>637</v>
      </c>
      <c r="C41" s="45">
        <v>10712808</v>
      </c>
      <c r="D41" s="186">
        <f t="shared" si="0"/>
        <v>11248448.4</v>
      </c>
      <c r="E41" s="41">
        <f t="shared" si="0"/>
        <v>11810870.82</v>
      </c>
      <c r="F41" s="4"/>
    </row>
    <row r="42" spans="1:6" s="11" customFormat="1" x14ac:dyDescent="0.35">
      <c r="A42" s="25">
        <v>2210304</v>
      </c>
      <c r="B42" s="24" t="s">
        <v>394</v>
      </c>
      <c r="C42" s="45">
        <v>300000</v>
      </c>
      <c r="D42" s="186">
        <f t="shared" si="0"/>
        <v>315000</v>
      </c>
      <c r="E42" s="41">
        <f t="shared" si="0"/>
        <v>330750</v>
      </c>
    </row>
    <row r="43" spans="1:6" s="11" customFormat="1" ht="15.65" x14ac:dyDescent="0.3">
      <c r="A43" s="25">
        <v>2210309</v>
      </c>
      <c r="B43" s="24" t="s">
        <v>116</v>
      </c>
      <c r="C43" s="45">
        <v>2407892</v>
      </c>
      <c r="D43" s="186">
        <f t="shared" si="0"/>
        <v>2528286.6</v>
      </c>
      <c r="E43" s="41">
        <f t="shared" si="0"/>
        <v>2654700.9300000002</v>
      </c>
    </row>
    <row r="44" spans="1:6" s="11" customFormat="1" ht="15.65" x14ac:dyDescent="0.3">
      <c r="A44" s="25">
        <v>2210310</v>
      </c>
      <c r="B44" s="24" t="s">
        <v>36</v>
      </c>
      <c r="C44" s="45">
        <v>7560000</v>
      </c>
      <c r="D44" s="186">
        <f t="shared" si="0"/>
        <v>7938000</v>
      </c>
      <c r="E44" s="41">
        <f t="shared" si="0"/>
        <v>8334900</v>
      </c>
    </row>
    <row r="45" spans="1:6" s="11" customFormat="1" ht="15.65" x14ac:dyDescent="0.3">
      <c r="A45" s="48">
        <v>2210399</v>
      </c>
      <c r="B45" s="50" t="s">
        <v>638</v>
      </c>
      <c r="C45" s="44">
        <v>90842000</v>
      </c>
      <c r="D45" s="186">
        <f t="shared" si="0"/>
        <v>95384100</v>
      </c>
      <c r="E45" s="41">
        <f t="shared" si="0"/>
        <v>100153305</v>
      </c>
      <c r="F45" s="4"/>
    </row>
    <row r="46" spans="1:6" s="16" customFormat="1" ht="28.25" x14ac:dyDescent="0.3">
      <c r="A46" s="38">
        <v>2210400</v>
      </c>
      <c r="B46" s="46" t="s">
        <v>118</v>
      </c>
      <c r="C46" s="40">
        <f>C47+C48+C49+C50</f>
        <v>6000000</v>
      </c>
      <c r="D46" s="55">
        <f t="shared" si="0"/>
        <v>6300000</v>
      </c>
      <c r="E46" s="40">
        <f t="shared" si="0"/>
        <v>6615000</v>
      </c>
    </row>
    <row r="47" spans="1:6" ht="15.65" x14ac:dyDescent="0.3">
      <c r="A47" s="42">
        <v>2210401</v>
      </c>
      <c r="B47" s="43" t="s">
        <v>120</v>
      </c>
      <c r="C47" s="45">
        <v>2000000</v>
      </c>
      <c r="D47" s="186">
        <f t="shared" si="0"/>
        <v>2100000</v>
      </c>
      <c r="E47" s="41">
        <f t="shared" si="0"/>
        <v>2205000</v>
      </c>
    </row>
    <row r="48" spans="1:6" ht="15.65" x14ac:dyDescent="0.3">
      <c r="A48" s="42">
        <v>2210403</v>
      </c>
      <c r="B48" s="43" t="s">
        <v>637</v>
      </c>
      <c r="C48" s="45">
        <v>3000000</v>
      </c>
      <c r="D48" s="186">
        <f t="shared" si="0"/>
        <v>3150000</v>
      </c>
      <c r="E48" s="41">
        <f t="shared" si="0"/>
        <v>3307500</v>
      </c>
    </row>
    <row r="49" spans="1:5" x14ac:dyDescent="0.35">
      <c r="A49" s="42">
        <v>2210404</v>
      </c>
      <c r="B49" s="43" t="s">
        <v>394</v>
      </c>
      <c r="C49" s="45">
        <v>0</v>
      </c>
      <c r="D49" s="186">
        <f t="shared" si="0"/>
        <v>0</v>
      </c>
      <c r="E49" s="41">
        <f t="shared" si="0"/>
        <v>0</v>
      </c>
    </row>
    <row r="50" spans="1:5" ht="15.65" x14ac:dyDescent="0.3">
      <c r="A50" s="42">
        <v>2210499</v>
      </c>
      <c r="B50" s="43" t="s">
        <v>639</v>
      </c>
      <c r="C50" s="45">
        <v>1000000</v>
      </c>
      <c r="D50" s="186">
        <f t="shared" si="0"/>
        <v>1050000</v>
      </c>
      <c r="E50" s="41">
        <f t="shared" si="0"/>
        <v>1102500</v>
      </c>
    </row>
    <row r="51" spans="1:5" s="16" customFormat="1" ht="28.25" x14ac:dyDescent="0.3">
      <c r="A51" s="38">
        <v>2210500</v>
      </c>
      <c r="B51" s="46" t="s">
        <v>38</v>
      </c>
      <c r="C51" s="40">
        <f>C52+C53+C54+C55+C56</f>
        <v>12356000</v>
      </c>
      <c r="D51" s="55">
        <f t="shared" si="0"/>
        <v>12973800</v>
      </c>
      <c r="E51" s="40">
        <f t="shared" si="0"/>
        <v>13622490</v>
      </c>
    </row>
    <row r="52" spans="1:5" s="11" customFormat="1" ht="15.65" x14ac:dyDescent="0.3">
      <c r="A52" s="25">
        <v>2210502</v>
      </c>
      <c r="B52" s="24" t="s">
        <v>201</v>
      </c>
      <c r="C52" s="45">
        <v>6486000</v>
      </c>
      <c r="D52" s="186">
        <f t="shared" si="0"/>
        <v>6810300</v>
      </c>
      <c r="E52" s="41">
        <f t="shared" si="0"/>
        <v>7150815</v>
      </c>
    </row>
    <row r="53" spans="1:5" s="11" customFormat="1" ht="28.25" x14ac:dyDescent="0.3">
      <c r="A53" s="25">
        <v>2210503</v>
      </c>
      <c r="B53" s="30" t="s">
        <v>123</v>
      </c>
      <c r="C53" s="45">
        <v>660000</v>
      </c>
      <c r="D53" s="186">
        <f t="shared" si="0"/>
        <v>693000</v>
      </c>
      <c r="E53" s="41">
        <f t="shared" si="0"/>
        <v>727650</v>
      </c>
    </row>
    <row r="54" spans="1:5" s="12" customFormat="1" ht="15.65" x14ac:dyDescent="0.3">
      <c r="A54" s="48">
        <v>2210504</v>
      </c>
      <c r="B54" s="49" t="s">
        <v>125</v>
      </c>
      <c r="C54" s="44">
        <v>4500000</v>
      </c>
      <c r="D54" s="186">
        <f t="shared" si="0"/>
        <v>4725000</v>
      </c>
      <c r="E54" s="41">
        <f t="shared" si="0"/>
        <v>4961250</v>
      </c>
    </row>
    <row r="55" spans="1:5" s="11" customFormat="1" ht="15.65" x14ac:dyDescent="0.3">
      <c r="A55" s="25">
        <v>2210505</v>
      </c>
      <c r="B55" s="24" t="s">
        <v>41</v>
      </c>
      <c r="C55" s="45">
        <v>510000</v>
      </c>
      <c r="D55" s="186">
        <f t="shared" si="0"/>
        <v>535500</v>
      </c>
      <c r="E55" s="41">
        <f t="shared" si="0"/>
        <v>562275</v>
      </c>
    </row>
    <row r="56" spans="1:5" s="11" customFormat="1" ht="15.65" x14ac:dyDescent="0.3">
      <c r="A56" s="25">
        <v>2210599</v>
      </c>
      <c r="B56" s="24" t="s">
        <v>1171</v>
      </c>
      <c r="C56" s="45">
        <v>200000</v>
      </c>
      <c r="D56" s="186">
        <f t="shared" si="0"/>
        <v>210000</v>
      </c>
      <c r="E56" s="186">
        <f t="shared" si="0"/>
        <v>220500</v>
      </c>
    </row>
    <row r="57" spans="1:5" s="16" customFormat="1" ht="15.65" x14ac:dyDescent="0.3">
      <c r="A57" s="38">
        <v>2210700</v>
      </c>
      <c r="B57" s="39" t="s">
        <v>640</v>
      </c>
      <c r="C57" s="40">
        <f>C58+C59+C60+C61+C62+C63+C64+C65+C66</f>
        <v>58538285</v>
      </c>
      <c r="D57" s="55">
        <f t="shared" si="0"/>
        <v>61465199.25</v>
      </c>
      <c r="E57" s="40">
        <f t="shared" si="0"/>
        <v>64538459.212500006</v>
      </c>
    </row>
    <row r="58" spans="1:5" s="11" customFormat="1" ht="15.65" x14ac:dyDescent="0.3">
      <c r="A58" s="25">
        <v>2210701</v>
      </c>
      <c r="B58" s="24" t="s">
        <v>164</v>
      </c>
      <c r="C58" s="45">
        <v>1500000</v>
      </c>
      <c r="D58" s="186">
        <f t="shared" si="0"/>
        <v>1575000</v>
      </c>
      <c r="E58" s="41">
        <f t="shared" si="0"/>
        <v>1653750</v>
      </c>
    </row>
    <row r="59" spans="1:5" s="11" customFormat="1" ht="28.25" x14ac:dyDescent="0.3">
      <c r="A59" s="25">
        <v>2210702</v>
      </c>
      <c r="B59" s="30" t="s">
        <v>414</v>
      </c>
      <c r="C59" s="45">
        <v>1400000</v>
      </c>
      <c r="D59" s="186">
        <f t="shared" si="0"/>
        <v>1470000</v>
      </c>
      <c r="E59" s="41">
        <f t="shared" si="0"/>
        <v>1543500</v>
      </c>
    </row>
    <row r="60" spans="1:5" s="11" customFormat="1" ht="15.65" x14ac:dyDescent="0.3">
      <c r="A60" s="25">
        <v>2210703</v>
      </c>
      <c r="B60" s="30" t="s">
        <v>641</v>
      </c>
      <c r="C60" s="45">
        <v>500000</v>
      </c>
      <c r="D60" s="186">
        <f t="shared" si="0"/>
        <v>525000</v>
      </c>
      <c r="E60" s="41">
        <f t="shared" si="0"/>
        <v>551250</v>
      </c>
    </row>
    <row r="61" spans="1:5" s="11" customFormat="1" ht="15.65" x14ac:dyDescent="0.3">
      <c r="A61" s="25">
        <v>2210705</v>
      </c>
      <c r="B61" s="24" t="s">
        <v>46</v>
      </c>
      <c r="C61" s="45">
        <v>5000000</v>
      </c>
      <c r="D61" s="186">
        <f t="shared" si="0"/>
        <v>5250000</v>
      </c>
      <c r="E61" s="41">
        <f t="shared" si="0"/>
        <v>5512500</v>
      </c>
    </row>
    <row r="62" spans="1:5" s="11" customFormat="1" ht="15.65" x14ac:dyDescent="0.3">
      <c r="A62" s="25">
        <v>2210708</v>
      </c>
      <c r="B62" s="24" t="s">
        <v>570</v>
      </c>
      <c r="C62" s="45">
        <v>1000000</v>
      </c>
      <c r="D62" s="186">
        <f t="shared" si="0"/>
        <v>1050000</v>
      </c>
      <c r="E62" s="41"/>
    </row>
    <row r="63" spans="1:5" s="11" customFormat="1" ht="15.65" x14ac:dyDescent="0.3">
      <c r="A63" s="25">
        <v>2210709</v>
      </c>
      <c r="B63" s="24" t="s">
        <v>642</v>
      </c>
      <c r="C63" s="45">
        <v>5700000</v>
      </c>
      <c r="D63" s="186">
        <f t="shared" si="0"/>
        <v>5985000</v>
      </c>
      <c r="E63" s="41">
        <f t="shared" si="0"/>
        <v>6284250</v>
      </c>
    </row>
    <row r="64" spans="1:5" s="11" customFormat="1" ht="15.65" x14ac:dyDescent="0.3">
      <c r="A64" s="25">
        <v>2210710</v>
      </c>
      <c r="B64" s="24" t="s">
        <v>128</v>
      </c>
      <c r="C64" s="45">
        <v>0</v>
      </c>
      <c r="D64" s="186">
        <f t="shared" si="0"/>
        <v>0</v>
      </c>
      <c r="E64" s="41">
        <f t="shared" si="0"/>
        <v>0</v>
      </c>
    </row>
    <row r="65" spans="1:6" s="11" customFormat="1" ht="15.65" x14ac:dyDescent="0.3">
      <c r="A65" s="25">
        <v>2210711</v>
      </c>
      <c r="B65" s="24" t="s">
        <v>130</v>
      </c>
      <c r="C65" s="45">
        <v>15000000</v>
      </c>
      <c r="D65" s="186">
        <f t="shared" si="0"/>
        <v>15750000</v>
      </c>
      <c r="E65" s="41">
        <f t="shared" si="0"/>
        <v>16537500</v>
      </c>
    </row>
    <row r="66" spans="1:6" s="11" customFormat="1" ht="15.65" x14ac:dyDescent="0.3">
      <c r="A66" s="25">
        <v>2210712</v>
      </c>
      <c r="B66" s="24" t="s">
        <v>1172</v>
      </c>
      <c r="C66" s="45">
        <v>28438285</v>
      </c>
      <c r="D66" s="186">
        <f t="shared" si="0"/>
        <v>29860199.25</v>
      </c>
      <c r="E66" s="186">
        <f t="shared" si="0"/>
        <v>31353209.212500002</v>
      </c>
    </row>
    <row r="67" spans="1:6" s="16" customFormat="1" ht="15.65" x14ac:dyDescent="0.3">
      <c r="A67" s="38">
        <v>2210800</v>
      </c>
      <c r="B67" s="39" t="s">
        <v>48</v>
      </c>
      <c r="C67" s="40">
        <f>C68+C69+C70+C71</f>
        <v>58723784</v>
      </c>
      <c r="D67" s="55">
        <f t="shared" si="0"/>
        <v>61659973.200000003</v>
      </c>
      <c r="E67" s="40">
        <f t="shared" si="0"/>
        <v>64742971.860000007</v>
      </c>
    </row>
    <row r="68" spans="1:6" s="11" customFormat="1" ht="28.25" x14ac:dyDescent="0.3">
      <c r="A68" s="25">
        <v>2210801</v>
      </c>
      <c r="B68" s="30" t="s">
        <v>468</v>
      </c>
      <c r="C68" s="45">
        <v>5290000</v>
      </c>
      <c r="D68" s="186">
        <f t="shared" si="0"/>
        <v>5554500</v>
      </c>
      <c r="E68" s="41">
        <f t="shared" si="0"/>
        <v>5832225</v>
      </c>
    </row>
    <row r="69" spans="1:6" s="11" customFormat="1" ht="15.65" x14ac:dyDescent="0.3">
      <c r="A69" s="25">
        <v>2210802</v>
      </c>
      <c r="B69" s="30" t="s">
        <v>207</v>
      </c>
      <c r="C69" s="45">
        <v>34753784</v>
      </c>
      <c r="D69" s="186">
        <f t="shared" ref="D69:E132" si="1">C69*105%</f>
        <v>36491473.200000003</v>
      </c>
      <c r="E69" s="41">
        <f t="shared" si="1"/>
        <v>38316046.860000007</v>
      </c>
      <c r="F69" s="4"/>
    </row>
    <row r="70" spans="1:6" s="11" customFormat="1" ht="15.65" x14ac:dyDescent="0.3">
      <c r="A70" s="25">
        <v>2210809</v>
      </c>
      <c r="B70" s="24" t="s">
        <v>643</v>
      </c>
      <c r="C70" s="45">
        <v>680000</v>
      </c>
      <c r="D70" s="186">
        <f t="shared" si="1"/>
        <v>714000</v>
      </c>
      <c r="E70" s="41">
        <f t="shared" si="1"/>
        <v>749700</v>
      </c>
      <c r="F70" s="4"/>
    </row>
    <row r="71" spans="1:6" s="11" customFormat="1" ht="15.65" x14ac:dyDescent="0.3">
      <c r="A71" s="25">
        <v>2210899</v>
      </c>
      <c r="B71" s="24" t="s">
        <v>644</v>
      </c>
      <c r="C71" s="45">
        <v>18000000</v>
      </c>
      <c r="D71" s="186">
        <f t="shared" si="1"/>
        <v>18900000</v>
      </c>
      <c r="E71" s="41">
        <f t="shared" si="1"/>
        <v>19845000</v>
      </c>
    </row>
    <row r="72" spans="1:6" s="16" customFormat="1" ht="15.65" x14ac:dyDescent="0.3">
      <c r="A72" s="38">
        <v>2210900</v>
      </c>
      <c r="B72" s="39" t="s">
        <v>209</v>
      </c>
      <c r="C72" s="40">
        <f>C73+C74+C75</f>
        <v>51005383</v>
      </c>
      <c r="D72" s="55">
        <f t="shared" si="1"/>
        <v>53555652.150000006</v>
      </c>
      <c r="E72" s="40">
        <f t="shared" si="1"/>
        <v>56233434.757500008</v>
      </c>
    </row>
    <row r="73" spans="1:6" s="11" customFormat="1" ht="15.65" x14ac:dyDescent="0.3">
      <c r="A73" s="25">
        <v>2210902</v>
      </c>
      <c r="B73" s="24" t="s">
        <v>645</v>
      </c>
      <c r="C73" s="45">
        <v>15000000</v>
      </c>
      <c r="D73" s="186">
        <f t="shared" si="1"/>
        <v>15750000</v>
      </c>
      <c r="E73" s="41">
        <f t="shared" si="1"/>
        <v>16537500</v>
      </c>
    </row>
    <row r="74" spans="1:6" s="11" customFormat="1" ht="15.65" x14ac:dyDescent="0.3">
      <c r="A74" s="25">
        <v>2210904</v>
      </c>
      <c r="B74" s="24" t="s">
        <v>66</v>
      </c>
      <c r="C74" s="45">
        <v>2360000</v>
      </c>
      <c r="D74" s="186">
        <f t="shared" si="1"/>
        <v>2478000</v>
      </c>
      <c r="E74" s="41">
        <f t="shared" si="1"/>
        <v>2601900</v>
      </c>
    </row>
    <row r="75" spans="1:6" s="11" customFormat="1" ht="15.65" x14ac:dyDescent="0.3">
      <c r="A75" s="25">
        <v>2210910</v>
      </c>
      <c r="B75" s="24" t="s">
        <v>402</v>
      </c>
      <c r="C75" s="45">
        <v>33645383</v>
      </c>
      <c r="D75" s="186">
        <f t="shared" si="1"/>
        <v>35327652.149999999</v>
      </c>
      <c r="E75" s="41">
        <f t="shared" si="1"/>
        <v>37094034.7575</v>
      </c>
    </row>
    <row r="76" spans="1:6" s="16" customFormat="1" ht="15.65" x14ac:dyDescent="0.3">
      <c r="A76" s="38">
        <v>2211000</v>
      </c>
      <c r="B76" s="39" t="s">
        <v>51</v>
      </c>
      <c r="C76" s="40">
        <f>C77+C78+C79+C80+C81+C82+C83</f>
        <v>3916500</v>
      </c>
      <c r="D76" s="55">
        <f t="shared" si="1"/>
        <v>4112325</v>
      </c>
      <c r="E76" s="40">
        <f t="shared" si="1"/>
        <v>4317941.25</v>
      </c>
    </row>
    <row r="77" spans="1:6" s="16" customFormat="1" ht="15.65" x14ac:dyDescent="0.3">
      <c r="A77" s="48">
        <v>2211004</v>
      </c>
      <c r="B77" s="50" t="s">
        <v>217</v>
      </c>
      <c r="C77" s="44">
        <v>500000</v>
      </c>
      <c r="D77" s="186">
        <f t="shared" si="1"/>
        <v>525000</v>
      </c>
      <c r="E77" s="186">
        <f t="shared" si="1"/>
        <v>551250</v>
      </c>
    </row>
    <row r="78" spans="1:6" s="16" customFormat="1" ht="28.25" x14ac:dyDescent="0.3">
      <c r="A78" s="48">
        <v>2211006</v>
      </c>
      <c r="B78" s="49" t="s">
        <v>1173</v>
      </c>
      <c r="C78" s="44">
        <v>10000</v>
      </c>
      <c r="D78" s="186">
        <f t="shared" si="1"/>
        <v>10500</v>
      </c>
      <c r="E78" s="186">
        <f t="shared" si="1"/>
        <v>11025</v>
      </c>
    </row>
    <row r="79" spans="1:6" s="11" customFormat="1" ht="15.65" x14ac:dyDescent="0.3">
      <c r="A79" s="25">
        <v>2211009</v>
      </c>
      <c r="B79" s="24" t="s">
        <v>52</v>
      </c>
      <c r="C79" s="45">
        <v>1000000</v>
      </c>
      <c r="D79" s="186">
        <f t="shared" si="1"/>
        <v>1050000</v>
      </c>
      <c r="E79" s="41">
        <f t="shared" si="1"/>
        <v>1102500</v>
      </c>
    </row>
    <row r="80" spans="1:6" s="11" customFormat="1" ht="15.65" x14ac:dyDescent="0.3">
      <c r="A80" s="25">
        <v>2211010</v>
      </c>
      <c r="B80" s="30" t="s">
        <v>646</v>
      </c>
      <c r="C80" s="45">
        <v>500000</v>
      </c>
      <c r="D80" s="186">
        <f t="shared" si="1"/>
        <v>525000</v>
      </c>
      <c r="E80" s="41">
        <f t="shared" si="1"/>
        <v>551250</v>
      </c>
    </row>
    <row r="81" spans="1:5" s="11" customFormat="1" ht="28.25" x14ac:dyDescent="0.3">
      <c r="A81" s="25">
        <v>2211011</v>
      </c>
      <c r="B81" s="30" t="s">
        <v>647</v>
      </c>
      <c r="C81" s="45">
        <v>0</v>
      </c>
      <c r="D81" s="186">
        <f t="shared" si="1"/>
        <v>0</v>
      </c>
      <c r="E81" s="41">
        <f t="shared" si="1"/>
        <v>0</v>
      </c>
    </row>
    <row r="82" spans="1:5" s="11" customFormat="1" ht="15.65" x14ac:dyDescent="0.3">
      <c r="A82" s="25">
        <v>2211016</v>
      </c>
      <c r="B82" s="24" t="s">
        <v>55</v>
      </c>
      <c r="C82" s="45">
        <v>906500</v>
      </c>
      <c r="D82" s="186">
        <f t="shared" si="1"/>
        <v>951825</v>
      </c>
      <c r="E82" s="41">
        <f t="shared" si="1"/>
        <v>999416.25</v>
      </c>
    </row>
    <row r="83" spans="1:5" s="11" customFormat="1" ht="15.65" x14ac:dyDescent="0.3">
      <c r="A83" s="25">
        <v>2211031</v>
      </c>
      <c r="B83" s="24" t="s">
        <v>1174</v>
      </c>
      <c r="C83" s="45">
        <v>1000000</v>
      </c>
      <c r="D83" s="186">
        <f t="shared" si="1"/>
        <v>1050000</v>
      </c>
      <c r="E83" s="41">
        <f t="shared" si="1"/>
        <v>1102500</v>
      </c>
    </row>
    <row r="84" spans="1:5" s="16" customFormat="1" ht="15.65" x14ac:dyDescent="0.3">
      <c r="A84" s="38">
        <v>2211100</v>
      </c>
      <c r="B84" s="39" t="s">
        <v>56</v>
      </c>
      <c r="C84" s="40">
        <f>C85+C86+C87+C88</f>
        <v>18620040</v>
      </c>
      <c r="D84" s="55">
        <f t="shared" si="1"/>
        <v>19551042</v>
      </c>
      <c r="E84" s="40">
        <f t="shared" si="1"/>
        <v>20528594.100000001</v>
      </c>
    </row>
    <row r="85" spans="1:5" s="12" customFormat="1" ht="28.25" x14ac:dyDescent="0.3">
      <c r="A85" s="48">
        <v>2211101</v>
      </c>
      <c r="B85" s="49" t="s">
        <v>648</v>
      </c>
      <c r="C85" s="44">
        <v>6944540</v>
      </c>
      <c r="D85" s="186">
        <f t="shared" si="1"/>
        <v>7291767</v>
      </c>
      <c r="E85" s="41">
        <f t="shared" si="1"/>
        <v>7656355.3500000006</v>
      </c>
    </row>
    <row r="86" spans="1:5" s="12" customFormat="1" ht="15.65" x14ac:dyDescent="0.3">
      <c r="A86" s="48">
        <v>2211102</v>
      </c>
      <c r="B86" s="49" t="s">
        <v>58</v>
      </c>
      <c r="C86" s="44">
        <v>5872100</v>
      </c>
      <c r="D86" s="186">
        <f t="shared" si="1"/>
        <v>6165705</v>
      </c>
      <c r="E86" s="41">
        <f t="shared" si="1"/>
        <v>6473990.25</v>
      </c>
    </row>
    <row r="87" spans="1:5" s="11" customFormat="1" ht="28.25" x14ac:dyDescent="0.3">
      <c r="A87" s="25">
        <v>2211103</v>
      </c>
      <c r="B87" s="30" t="s">
        <v>230</v>
      </c>
      <c r="C87" s="45">
        <v>2183400</v>
      </c>
      <c r="D87" s="186">
        <f t="shared" si="1"/>
        <v>2292570</v>
      </c>
      <c r="E87" s="41">
        <f t="shared" si="1"/>
        <v>2407198.5</v>
      </c>
    </row>
    <row r="88" spans="1:5" s="11" customFormat="1" ht="15.65" x14ac:dyDescent="0.3">
      <c r="A88" s="25">
        <v>2211199</v>
      </c>
      <c r="B88" s="30" t="s">
        <v>1175</v>
      </c>
      <c r="C88" s="45">
        <v>3620000</v>
      </c>
      <c r="D88" s="186">
        <f t="shared" si="1"/>
        <v>3801000</v>
      </c>
      <c r="E88" s="186">
        <f t="shared" si="1"/>
        <v>3991050</v>
      </c>
    </row>
    <row r="89" spans="1:5" s="16" customFormat="1" ht="15.65" x14ac:dyDescent="0.3">
      <c r="A89" s="38">
        <v>2211200</v>
      </c>
      <c r="B89" s="39" t="s">
        <v>60</v>
      </c>
      <c r="C89" s="40">
        <f>C90+C91</f>
        <v>5700000</v>
      </c>
      <c r="D89" s="55">
        <f t="shared" si="1"/>
        <v>5985000</v>
      </c>
      <c r="E89" s="40">
        <f t="shared" si="1"/>
        <v>6284250</v>
      </c>
    </row>
    <row r="90" spans="1:5" s="11" customFormat="1" ht="15.65" x14ac:dyDescent="0.3">
      <c r="A90" s="25">
        <v>2211201</v>
      </c>
      <c r="B90" s="24" t="s">
        <v>143</v>
      </c>
      <c r="C90" s="45">
        <v>5000000</v>
      </c>
      <c r="D90" s="186">
        <f t="shared" si="1"/>
        <v>5250000</v>
      </c>
      <c r="E90" s="41">
        <f t="shared" si="1"/>
        <v>5512500</v>
      </c>
    </row>
    <row r="91" spans="1:5" s="11" customFormat="1" ht="15.65" x14ac:dyDescent="0.3">
      <c r="A91" s="25">
        <v>2211203</v>
      </c>
      <c r="B91" s="24" t="s">
        <v>1176</v>
      </c>
      <c r="C91" s="45">
        <v>700000</v>
      </c>
      <c r="D91" s="186">
        <f t="shared" si="1"/>
        <v>735000</v>
      </c>
      <c r="E91" s="186">
        <f t="shared" si="1"/>
        <v>771750</v>
      </c>
    </row>
    <row r="92" spans="1:5" s="16" customFormat="1" ht="15.65" x14ac:dyDescent="0.3">
      <c r="A92" s="38">
        <v>2211300</v>
      </c>
      <c r="B92" s="39" t="s">
        <v>62</v>
      </c>
      <c r="C92" s="40">
        <f>C93+C94+C95+C96+C97+C98+C99+C100+C101+C102+C103</f>
        <v>114892387</v>
      </c>
      <c r="D92" s="55">
        <f t="shared" si="1"/>
        <v>120637006.35000001</v>
      </c>
      <c r="E92" s="40">
        <f t="shared" si="1"/>
        <v>126668856.66750002</v>
      </c>
    </row>
    <row r="93" spans="1:5" s="11" customFormat="1" ht="15.65" x14ac:dyDescent="0.3">
      <c r="A93" s="25">
        <v>2211301</v>
      </c>
      <c r="B93" s="24" t="s">
        <v>266</v>
      </c>
      <c r="C93" s="45">
        <v>3100000</v>
      </c>
      <c r="D93" s="186">
        <f t="shared" si="1"/>
        <v>3255000</v>
      </c>
      <c r="E93" s="41">
        <f t="shared" si="1"/>
        <v>3417750</v>
      </c>
    </row>
    <row r="94" spans="1:5" s="11" customFormat="1" ht="15.65" x14ac:dyDescent="0.3">
      <c r="A94" s="25">
        <v>2211305</v>
      </c>
      <c r="B94" s="24" t="s">
        <v>64</v>
      </c>
      <c r="C94" s="45">
        <v>14304000</v>
      </c>
      <c r="D94" s="186">
        <f t="shared" si="1"/>
        <v>15019200</v>
      </c>
      <c r="E94" s="41">
        <f t="shared" si="1"/>
        <v>15770160</v>
      </c>
    </row>
    <row r="95" spans="1:5" s="11" customFormat="1" ht="28.25" x14ac:dyDescent="0.3">
      <c r="A95" s="25">
        <v>2211306</v>
      </c>
      <c r="B95" s="30" t="s">
        <v>65</v>
      </c>
      <c r="C95" s="45">
        <v>1327280</v>
      </c>
      <c r="D95" s="186">
        <f t="shared" si="1"/>
        <v>1393644</v>
      </c>
      <c r="E95" s="41">
        <f t="shared" si="1"/>
        <v>1463326.2</v>
      </c>
    </row>
    <row r="96" spans="1:5" s="11" customFormat="1" ht="28.25" x14ac:dyDescent="0.3">
      <c r="A96" s="25">
        <v>2211308</v>
      </c>
      <c r="B96" s="30" t="s">
        <v>649</v>
      </c>
      <c r="C96" s="45">
        <v>10000000</v>
      </c>
      <c r="D96" s="186">
        <f t="shared" si="1"/>
        <v>10500000</v>
      </c>
      <c r="E96" s="41">
        <f t="shared" si="1"/>
        <v>11025000</v>
      </c>
    </row>
    <row r="97" spans="1:6" s="12" customFormat="1" ht="15.65" x14ac:dyDescent="0.3">
      <c r="A97" s="48">
        <v>2211309</v>
      </c>
      <c r="B97" s="50" t="s">
        <v>416</v>
      </c>
      <c r="C97" s="44">
        <v>31146650</v>
      </c>
      <c r="D97" s="186">
        <f t="shared" si="1"/>
        <v>32703982.5</v>
      </c>
      <c r="E97" s="41">
        <f t="shared" si="1"/>
        <v>34339181.625</v>
      </c>
      <c r="F97" s="17"/>
    </row>
    <row r="98" spans="1:6" s="11" customFormat="1" ht="15.65" x14ac:dyDescent="0.3">
      <c r="A98" s="25">
        <v>2211310</v>
      </c>
      <c r="B98" s="24" t="s">
        <v>556</v>
      </c>
      <c r="C98" s="45">
        <v>2000000</v>
      </c>
      <c r="D98" s="186">
        <f t="shared" si="1"/>
        <v>2100000</v>
      </c>
      <c r="E98" s="41">
        <f t="shared" si="1"/>
        <v>2205000</v>
      </c>
    </row>
    <row r="99" spans="1:6" s="11" customFormat="1" ht="15.65" x14ac:dyDescent="0.3">
      <c r="A99" s="25">
        <v>2211311</v>
      </c>
      <c r="B99" s="24" t="s">
        <v>420</v>
      </c>
      <c r="C99" s="45">
        <v>300000</v>
      </c>
      <c r="D99" s="186">
        <f t="shared" si="1"/>
        <v>315000</v>
      </c>
      <c r="E99" s="186">
        <f t="shared" si="1"/>
        <v>330750</v>
      </c>
    </row>
    <row r="100" spans="1:6" s="11" customFormat="1" ht="15.65" x14ac:dyDescent="0.3">
      <c r="A100" s="25">
        <v>2211323</v>
      </c>
      <c r="B100" s="24" t="s">
        <v>1177</v>
      </c>
      <c r="C100" s="45">
        <v>300000</v>
      </c>
      <c r="D100" s="186">
        <f t="shared" si="1"/>
        <v>315000</v>
      </c>
      <c r="E100" s="186">
        <f t="shared" si="1"/>
        <v>330750</v>
      </c>
    </row>
    <row r="101" spans="1:6" s="11" customFormat="1" ht="15.65" x14ac:dyDescent="0.3">
      <c r="A101" s="25">
        <v>2211325</v>
      </c>
      <c r="B101" s="24" t="s">
        <v>650</v>
      </c>
      <c r="C101" s="45">
        <v>30596940</v>
      </c>
      <c r="D101" s="186">
        <f t="shared" si="1"/>
        <v>32126787</v>
      </c>
      <c r="E101" s="41">
        <f t="shared" si="1"/>
        <v>33733126.350000001</v>
      </c>
    </row>
    <row r="102" spans="1:6" s="11" customFormat="1" ht="15.65" x14ac:dyDescent="0.3">
      <c r="A102" s="25">
        <v>2211334</v>
      </c>
      <c r="B102" s="24" t="s">
        <v>1178</v>
      </c>
      <c r="C102" s="45">
        <v>21817517</v>
      </c>
      <c r="D102" s="186">
        <f t="shared" si="1"/>
        <v>22908392.850000001</v>
      </c>
      <c r="E102" s="186">
        <f t="shared" si="1"/>
        <v>24053812.492500003</v>
      </c>
    </row>
    <row r="103" spans="1:6" s="11" customFormat="1" ht="15.65" x14ac:dyDescent="0.3">
      <c r="A103" s="25">
        <v>2211399</v>
      </c>
      <c r="B103" s="24" t="s">
        <v>1179</v>
      </c>
      <c r="C103" s="45">
        <v>0</v>
      </c>
      <c r="D103" s="186">
        <f t="shared" si="1"/>
        <v>0</v>
      </c>
      <c r="E103" s="41">
        <f t="shared" si="1"/>
        <v>0</v>
      </c>
    </row>
    <row r="104" spans="1:6" s="16" customFormat="1" ht="28.25" x14ac:dyDescent="0.3">
      <c r="A104" s="38">
        <v>2220100</v>
      </c>
      <c r="B104" s="46" t="s">
        <v>71</v>
      </c>
      <c r="C104" s="40">
        <f>C105+C106</f>
        <v>10162000</v>
      </c>
      <c r="D104" s="55">
        <f t="shared" si="1"/>
        <v>10670100</v>
      </c>
      <c r="E104" s="40">
        <f t="shared" si="1"/>
        <v>11203605</v>
      </c>
    </row>
    <row r="105" spans="1:6" s="11" customFormat="1" ht="15.65" x14ac:dyDescent="0.3">
      <c r="A105" s="25">
        <v>2220101</v>
      </c>
      <c r="B105" s="24" t="s">
        <v>72</v>
      </c>
      <c r="C105" s="45">
        <v>4080000</v>
      </c>
      <c r="D105" s="186">
        <f t="shared" si="1"/>
        <v>4284000</v>
      </c>
      <c r="E105" s="41">
        <f t="shared" si="1"/>
        <v>4498200</v>
      </c>
    </row>
    <row r="106" spans="1:6" s="11" customFormat="1" ht="15.65" x14ac:dyDescent="0.3">
      <c r="A106" s="25">
        <v>2220105</v>
      </c>
      <c r="B106" s="24" t="s">
        <v>651</v>
      </c>
      <c r="C106" s="45">
        <v>6082000</v>
      </c>
      <c r="D106" s="186">
        <f t="shared" si="1"/>
        <v>6386100</v>
      </c>
      <c r="E106" s="41">
        <f t="shared" si="1"/>
        <v>6705405</v>
      </c>
    </row>
    <row r="107" spans="1:6" s="16" customFormat="1" ht="15.65" x14ac:dyDescent="0.3">
      <c r="A107" s="38">
        <v>2220200</v>
      </c>
      <c r="B107" s="39" t="s">
        <v>73</v>
      </c>
      <c r="C107" s="40">
        <f>C108+C109+C110+C111+C112+C113</f>
        <v>15830890</v>
      </c>
      <c r="D107" s="55">
        <f t="shared" si="1"/>
        <v>16622434.5</v>
      </c>
      <c r="E107" s="40">
        <f t="shared" si="1"/>
        <v>17453556.225000001</v>
      </c>
    </row>
    <row r="108" spans="1:6" s="11" customFormat="1" ht="28.25" x14ac:dyDescent="0.3">
      <c r="A108" s="25">
        <v>2220201</v>
      </c>
      <c r="B108" s="30" t="s">
        <v>74</v>
      </c>
      <c r="C108" s="45">
        <v>1730890</v>
      </c>
      <c r="D108" s="186">
        <f t="shared" si="1"/>
        <v>1817434.5</v>
      </c>
      <c r="E108" s="41">
        <f t="shared" si="1"/>
        <v>1908306.2250000001</v>
      </c>
    </row>
    <row r="109" spans="1:6" s="11" customFormat="1" ht="15.65" x14ac:dyDescent="0.3">
      <c r="A109" s="25">
        <v>2220202</v>
      </c>
      <c r="B109" s="30" t="s">
        <v>75</v>
      </c>
      <c r="C109" s="45">
        <v>600000</v>
      </c>
      <c r="D109" s="186">
        <f t="shared" si="1"/>
        <v>630000</v>
      </c>
      <c r="E109" s="41">
        <f t="shared" si="1"/>
        <v>661500</v>
      </c>
    </row>
    <row r="110" spans="1:6" s="11" customFormat="1" ht="28.25" x14ac:dyDescent="0.3">
      <c r="A110" s="25">
        <v>2220205</v>
      </c>
      <c r="B110" s="30" t="s">
        <v>76</v>
      </c>
      <c r="C110" s="45">
        <v>10000000</v>
      </c>
      <c r="D110" s="186">
        <f t="shared" si="1"/>
        <v>10500000</v>
      </c>
      <c r="E110" s="41">
        <f t="shared" si="1"/>
        <v>11025000</v>
      </c>
    </row>
    <row r="111" spans="1:6" s="11" customFormat="1" ht="15.65" x14ac:dyDescent="0.3">
      <c r="A111" s="25">
        <v>2220209</v>
      </c>
      <c r="B111" s="30" t="s">
        <v>1180</v>
      </c>
      <c r="C111" s="45">
        <v>0</v>
      </c>
      <c r="D111" s="186">
        <f t="shared" si="1"/>
        <v>0</v>
      </c>
      <c r="E111" s="41">
        <f t="shared" si="1"/>
        <v>0</v>
      </c>
    </row>
    <row r="112" spans="1:6" s="11" customFormat="1" ht="15.65" x14ac:dyDescent="0.3">
      <c r="A112" s="25">
        <v>2220210</v>
      </c>
      <c r="B112" s="30" t="s">
        <v>1181</v>
      </c>
      <c r="C112" s="45">
        <v>2000000</v>
      </c>
      <c r="D112" s="186">
        <f t="shared" si="1"/>
        <v>2100000</v>
      </c>
      <c r="E112" s="41">
        <f t="shared" si="1"/>
        <v>2205000</v>
      </c>
    </row>
    <row r="113" spans="1:6" s="11" customFormat="1" ht="15.65" x14ac:dyDescent="0.3">
      <c r="A113" s="25">
        <v>2220212</v>
      </c>
      <c r="B113" s="24" t="s">
        <v>652</v>
      </c>
      <c r="C113" s="45">
        <v>1500000</v>
      </c>
      <c r="D113" s="186">
        <f t="shared" si="1"/>
        <v>1575000</v>
      </c>
      <c r="E113" s="41">
        <f t="shared" si="1"/>
        <v>1653750</v>
      </c>
    </row>
    <row r="114" spans="1:6" s="11" customFormat="1" ht="15.65" x14ac:dyDescent="0.3">
      <c r="A114" s="38">
        <v>2420400</v>
      </c>
      <c r="B114" s="46" t="s">
        <v>1182</v>
      </c>
      <c r="C114" s="40">
        <f>C115</f>
        <v>20500000</v>
      </c>
      <c r="D114" s="55">
        <f t="shared" si="1"/>
        <v>21525000</v>
      </c>
      <c r="E114" s="40">
        <f t="shared" si="1"/>
        <v>22601250</v>
      </c>
    </row>
    <row r="115" spans="1:6" s="11" customFormat="1" ht="15.65" x14ac:dyDescent="0.3">
      <c r="A115" s="25">
        <v>2420401</v>
      </c>
      <c r="B115" s="24" t="s">
        <v>1183</v>
      </c>
      <c r="C115" s="45">
        <v>20500000</v>
      </c>
      <c r="D115" s="186">
        <f t="shared" si="1"/>
        <v>21525000</v>
      </c>
      <c r="E115" s="186">
        <f t="shared" si="1"/>
        <v>22601250</v>
      </c>
    </row>
    <row r="116" spans="1:6" s="16" customFormat="1" ht="15.65" x14ac:dyDescent="0.3">
      <c r="A116" s="38">
        <v>2710100</v>
      </c>
      <c r="B116" s="46" t="s">
        <v>78</v>
      </c>
      <c r="C116" s="40">
        <f>C117+C118</f>
        <v>33250015</v>
      </c>
      <c r="D116" s="55">
        <f t="shared" si="1"/>
        <v>34912515.75</v>
      </c>
      <c r="E116" s="40">
        <f t="shared" si="1"/>
        <v>36658141.537500001</v>
      </c>
    </row>
    <row r="117" spans="1:6" s="11" customFormat="1" ht="15.65" x14ac:dyDescent="0.3">
      <c r="A117" s="25">
        <v>2710102</v>
      </c>
      <c r="B117" s="24" t="s">
        <v>653</v>
      </c>
      <c r="C117" s="45">
        <v>7803641</v>
      </c>
      <c r="D117" s="186">
        <f t="shared" si="1"/>
        <v>8193823.0500000007</v>
      </c>
      <c r="E117" s="41">
        <f t="shared" si="1"/>
        <v>8603514.2025000006</v>
      </c>
    </row>
    <row r="118" spans="1:6" s="11" customFormat="1" ht="15.65" x14ac:dyDescent="0.3">
      <c r="A118" s="25">
        <v>2710103</v>
      </c>
      <c r="B118" s="24" t="s">
        <v>654</v>
      </c>
      <c r="C118" s="45">
        <v>25446374</v>
      </c>
      <c r="D118" s="186">
        <f t="shared" si="1"/>
        <v>26718692.700000003</v>
      </c>
      <c r="E118" s="41">
        <f t="shared" si="1"/>
        <v>28054627.335000005</v>
      </c>
    </row>
    <row r="119" spans="1:6" s="16" customFormat="1" ht="28.25" x14ac:dyDescent="0.3">
      <c r="A119" s="38">
        <v>3110700</v>
      </c>
      <c r="B119" s="46" t="s">
        <v>655</v>
      </c>
      <c r="C119" s="40">
        <f>C120</f>
        <v>12000000</v>
      </c>
      <c r="D119" s="55">
        <f t="shared" si="1"/>
        <v>12600000</v>
      </c>
      <c r="E119" s="40">
        <f t="shared" si="1"/>
        <v>13230000</v>
      </c>
    </row>
    <row r="120" spans="1:6" s="12" customFormat="1" ht="15.65" x14ac:dyDescent="0.3">
      <c r="A120" s="48">
        <v>3110701</v>
      </c>
      <c r="B120" s="50" t="s">
        <v>560</v>
      </c>
      <c r="C120" s="44">
        <v>12000000</v>
      </c>
      <c r="D120" s="186">
        <f t="shared" si="1"/>
        <v>12600000</v>
      </c>
      <c r="E120" s="41">
        <f t="shared" si="1"/>
        <v>13230000</v>
      </c>
      <c r="F120" s="17"/>
    </row>
    <row r="121" spans="1:6" s="16" customFormat="1" ht="28.25" x14ac:dyDescent="0.3">
      <c r="A121" s="38">
        <v>3111000</v>
      </c>
      <c r="B121" s="46" t="s">
        <v>82</v>
      </c>
      <c r="C121" s="40">
        <f>C122+C123+C124+C125+C126+C127</f>
        <v>13879068</v>
      </c>
      <c r="D121" s="55">
        <f t="shared" si="1"/>
        <v>14573021.4</v>
      </c>
      <c r="E121" s="40">
        <f t="shared" si="1"/>
        <v>15301672.470000001</v>
      </c>
    </row>
    <row r="122" spans="1:6" s="11" customFormat="1" ht="15.65" x14ac:dyDescent="0.3">
      <c r="A122" s="25">
        <v>3111001</v>
      </c>
      <c r="B122" s="24" t="s">
        <v>83</v>
      </c>
      <c r="C122" s="45">
        <v>4990000</v>
      </c>
      <c r="D122" s="186">
        <f t="shared" si="1"/>
        <v>5239500</v>
      </c>
      <c r="E122" s="41">
        <f t="shared" si="1"/>
        <v>5501475</v>
      </c>
    </row>
    <row r="123" spans="1:6" s="12" customFormat="1" ht="28.25" x14ac:dyDescent="0.3">
      <c r="A123" s="48">
        <v>3111002</v>
      </c>
      <c r="B123" s="49" t="s">
        <v>84</v>
      </c>
      <c r="C123" s="44">
        <v>6502500</v>
      </c>
      <c r="D123" s="186">
        <f t="shared" si="1"/>
        <v>6827625</v>
      </c>
      <c r="E123" s="41">
        <f t="shared" si="1"/>
        <v>7169006.25</v>
      </c>
    </row>
    <row r="124" spans="1:6" s="11" customFormat="1" ht="28.25" x14ac:dyDescent="0.3">
      <c r="A124" s="25">
        <v>3111003</v>
      </c>
      <c r="B124" s="30" t="s">
        <v>277</v>
      </c>
      <c r="C124" s="45">
        <v>939368</v>
      </c>
      <c r="D124" s="186">
        <f t="shared" si="1"/>
        <v>986336.4</v>
      </c>
      <c r="E124" s="41">
        <f t="shared" si="1"/>
        <v>1035653.2200000001</v>
      </c>
    </row>
    <row r="125" spans="1:6" s="11" customFormat="1" ht="15.65" x14ac:dyDescent="0.3">
      <c r="A125" s="25">
        <v>3111005</v>
      </c>
      <c r="B125" s="24" t="s">
        <v>656</v>
      </c>
      <c r="C125" s="45">
        <v>600000</v>
      </c>
      <c r="D125" s="186">
        <f t="shared" si="1"/>
        <v>630000</v>
      </c>
      <c r="E125" s="41">
        <f t="shared" si="1"/>
        <v>661500</v>
      </c>
    </row>
    <row r="126" spans="1:6" s="11" customFormat="1" ht="15.65" x14ac:dyDescent="0.3">
      <c r="A126" s="25">
        <v>3111009</v>
      </c>
      <c r="B126" s="24" t="s">
        <v>657</v>
      </c>
      <c r="C126" s="45">
        <v>547200</v>
      </c>
      <c r="D126" s="186">
        <f t="shared" si="1"/>
        <v>574560</v>
      </c>
      <c r="E126" s="41">
        <f t="shared" si="1"/>
        <v>603288</v>
      </c>
    </row>
    <row r="127" spans="1:6" s="11" customFormat="1" ht="15.65" x14ac:dyDescent="0.3">
      <c r="A127" s="25">
        <v>3111011</v>
      </c>
      <c r="B127" s="24" t="s">
        <v>1184</v>
      </c>
      <c r="C127" s="45">
        <v>300000</v>
      </c>
      <c r="D127" s="186">
        <f t="shared" si="1"/>
        <v>315000</v>
      </c>
      <c r="E127" s="186">
        <f t="shared" si="1"/>
        <v>330750</v>
      </c>
    </row>
    <row r="128" spans="1:6" s="11" customFormat="1" ht="28.25" x14ac:dyDescent="0.3">
      <c r="A128" s="38">
        <v>3111100</v>
      </c>
      <c r="B128" s="46" t="s">
        <v>1185</v>
      </c>
      <c r="C128" s="40">
        <f>C129+C130</f>
        <v>1500000</v>
      </c>
      <c r="D128" s="55">
        <f t="shared" si="1"/>
        <v>1575000</v>
      </c>
      <c r="E128" s="40">
        <f t="shared" si="1"/>
        <v>1653750</v>
      </c>
    </row>
    <row r="129" spans="1:6" s="11" customFormat="1" ht="28.25" x14ac:dyDescent="0.3">
      <c r="A129" s="48">
        <v>3111111</v>
      </c>
      <c r="B129" s="49" t="s">
        <v>1186</v>
      </c>
      <c r="C129" s="44">
        <v>1000000</v>
      </c>
      <c r="D129" s="186">
        <f t="shared" si="1"/>
        <v>1050000</v>
      </c>
      <c r="E129" s="186">
        <f t="shared" si="1"/>
        <v>1102500</v>
      </c>
    </row>
    <row r="130" spans="1:6" s="11" customFormat="1" ht="15.65" x14ac:dyDescent="0.3">
      <c r="A130" s="48">
        <v>3111112</v>
      </c>
      <c r="B130" s="49" t="s">
        <v>1187</v>
      </c>
      <c r="C130" s="44">
        <v>500000</v>
      </c>
      <c r="D130" s="186">
        <f t="shared" si="1"/>
        <v>525000</v>
      </c>
      <c r="E130" s="186">
        <f t="shared" si="1"/>
        <v>551250</v>
      </c>
    </row>
    <row r="131" spans="1:6" s="11" customFormat="1" ht="15.65" x14ac:dyDescent="0.3">
      <c r="A131" s="38">
        <v>3130000</v>
      </c>
      <c r="B131" s="46" t="s">
        <v>1188</v>
      </c>
      <c r="C131" s="40">
        <f>C132</f>
        <v>2950000</v>
      </c>
      <c r="D131" s="55">
        <f t="shared" si="1"/>
        <v>3097500</v>
      </c>
      <c r="E131" s="40">
        <f t="shared" si="1"/>
        <v>3252375</v>
      </c>
    </row>
    <row r="132" spans="1:6" s="11" customFormat="1" ht="15.65" x14ac:dyDescent="0.3">
      <c r="A132" s="48">
        <v>3130299</v>
      </c>
      <c r="B132" s="49" t="s">
        <v>1189</v>
      </c>
      <c r="C132" s="44">
        <v>2950000</v>
      </c>
      <c r="D132" s="186">
        <f t="shared" si="1"/>
        <v>3097500</v>
      </c>
      <c r="E132" s="186">
        <f t="shared" si="1"/>
        <v>3252375</v>
      </c>
    </row>
    <row r="133" spans="1:6" s="16" customFormat="1" ht="28.25" x14ac:dyDescent="0.3">
      <c r="A133" s="38">
        <v>3111400</v>
      </c>
      <c r="B133" s="46" t="s">
        <v>658</v>
      </c>
      <c r="C133" s="47">
        <f>C134+C135+C136+C137+C138</f>
        <v>0</v>
      </c>
      <c r="D133" s="55">
        <f t="shared" ref="D133:E148" si="2">C133*105%</f>
        <v>0</v>
      </c>
      <c r="E133" s="40">
        <f t="shared" si="2"/>
        <v>0</v>
      </c>
    </row>
    <row r="134" spans="1:6" s="11" customFormat="1" ht="15.65" x14ac:dyDescent="0.3">
      <c r="A134" s="25">
        <v>3111401</v>
      </c>
      <c r="B134" s="30" t="s">
        <v>155</v>
      </c>
      <c r="C134" s="45">
        <v>0</v>
      </c>
      <c r="D134" s="55">
        <f t="shared" si="2"/>
        <v>0</v>
      </c>
      <c r="E134" s="41">
        <f t="shared" si="2"/>
        <v>0</v>
      </c>
    </row>
    <row r="135" spans="1:6" s="11" customFormat="1" ht="15.65" x14ac:dyDescent="0.3">
      <c r="A135" s="25">
        <v>3111402</v>
      </c>
      <c r="B135" s="24" t="s">
        <v>659</v>
      </c>
      <c r="C135" s="45">
        <v>0</v>
      </c>
      <c r="D135" s="55">
        <f t="shared" si="2"/>
        <v>0</v>
      </c>
      <c r="E135" s="41">
        <f t="shared" si="2"/>
        <v>0</v>
      </c>
    </row>
    <row r="136" spans="1:6" s="11" customFormat="1" ht="15.65" x14ac:dyDescent="0.3">
      <c r="A136" s="25">
        <v>3111403</v>
      </c>
      <c r="B136" s="24" t="s">
        <v>86</v>
      </c>
      <c r="C136" s="45">
        <v>0</v>
      </c>
      <c r="D136" s="55">
        <f t="shared" si="2"/>
        <v>0</v>
      </c>
      <c r="E136" s="41">
        <f t="shared" si="2"/>
        <v>0</v>
      </c>
    </row>
    <row r="137" spans="1:6" s="11" customFormat="1" ht="15.65" x14ac:dyDescent="0.3">
      <c r="A137" s="25">
        <v>3111404</v>
      </c>
      <c r="B137" s="24" t="s">
        <v>642</v>
      </c>
      <c r="C137" s="45">
        <v>0</v>
      </c>
      <c r="D137" s="55">
        <f t="shared" si="2"/>
        <v>0</v>
      </c>
      <c r="E137" s="41">
        <f t="shared" si="2"/>
        <v>0</v>
      </c>
    </row>
    <row r="138" spans="1:6" s="11" customFormat="1" ht="15.65" x14ac:dyDescent="0.3">
      <c r="A138" s="25">
        <v>3111499</v>
      </c>
      <c r="B138" s="24" t="s">
        <v>448</v>
      </c>
      <c r="C138" s="45">
        <v>0</v>
      </c>
      <c r="D138" s="55">
        <f t="shared" si="2"/>
        <v>0</v>
      </c>
      <c r="E138" s="41">
        <f t="shared" si="2"/>
        <v>0</v>
      </c>
    </row>
    <row r="139" spans="1:6" s="7" customFormat="1" ht="15.65" x14ac:dyDescent="0.3">
      <c r="A139" s="51"/>
      <c r="B139" s="52" t="s">
        <v>709</v>
      </c>
      <c r="C139" s="40">
        <f>C4+C6+C10+C23+C25+C29+C33+C38+C46+C51+C57+C67+C72+C76+C84+C89+C92+C104+C107+C114+C116+C119+C121+C128+C131+C133</f>
        <v>1050702752</v>
      </c>
      <c r="D139" s="55">
        <f t="shared" si="2"/>
        <v>1103237889.6000001</v>
      </c>
      <c r="E139" s="40">
        <f t="shared" si="2"/>
        <v>1158399784.0800002</v>
      </c>
    </row>
    <row r="140" spans="1:6" ht="15.65" x14ac:dyDescent="0.3">
      <c r="A140" s="187"/>
      <c r="B140" s="188"/>
      <c r="C140" s="56"/>
      <c r="D140" s="185"/>
      <c r="E140" s="40"/>
    </row>
    <row r="141" spans="1:6" s="11" customFormat="1" ht="15.65" x14ac:dyDescent="0.3">
      <c r="A141" s="25">
        <v>4110401</v>
      </c>
      <c r="B141" s="24" t="s">
        <v>710</v>
      </c>
      <c r="C141" s="45">
        <v>0</v>
      </c>
      <c r="D141" s="185"/>
      <c r="E141" s="41">
        <f t="shared" si="2"/>
        <v>0</v>
      </c>
      <c r="F141" s="18"/>
    </row>
    <row r="142" spans="1:6" s="11" customFormat="1" ht="15.65" x14ac:dyDescent="0.3">
      <c r="A142" s="25">
        <v>4110403</v>
      </c>
      <c r="B142" s="24" t="s">
        <v>711</v>
      </c>
      <c r="C142" s="45">
        <v>0</v>
      </c>
      <c r="D142" s="185"/>
      <c r="E142" s="41">
        <f t="shared" si="2"/>
        <v>0</v>
      </c>
    </row>
    <row r="143" spans="1:6" s="11" customFormat="1" ht="15.65" x14ac:dyDescent="0.3">
      <c r="A143" s="25">
        <v>4110405</v>
      </c>
      <c r="B143" s="24" t="s">
        <v>660</v>
      </c>
      <c r="C143" s="45">
        <v>0</v>
      </c>
      <c r="D143" s="185"/>
      <c r="E143" s="41">
        <f t="shared" si="2"/>
        <v>0</v>
      </c>
    </row>
    <row r="144" spans="1:6" s="11" customFormat="1" ht="15.65" x14ac:dyDescent="0.3">
      <c r="A144" s="25">
        <v>2110336</v>
      </c>
      <c r="B144" s="24" t="s">
        <v>1190</v>
      </c>
      <c r="C144" s="45">
        <v>0</v>
      </c>
      <c r="D144" s="185"/>
      <c r="E144" s="41">
        <f t="shared" si="2"/>
        <v>0</v>
      </c>
    </row>
    <row r="145" spans="1:6" s="11" customFormat="1" ht="15.65" x14ac:dyDescent="0.3">
      <c r="A145" s="25">
        <v>2110325</v>
      </c>
      <c r="B145" s="24" t="s">
        <v>1191</v>
      </c>
      <c r="C145" s="45">
        <v>22444248</v>
      </c>
      <c r="D145" s="45">
        <v>22444248</v>
      </c>
      <c r="E145" s="41">
        <f t="shared" si="2"/>
        <v>23566460.400000002</v>
      </c>
    </row>
    <row r="146" spans="1:6" s="5" customFormat="1" ht="15.65" x14ac:dyDescent="0.3">
      <c r="A146" s="53"/>
      <c r="B146" s="54" t="s">
        <v>709</v>
      </c>
      <c r="C146" s="55">
        <f>C141+C142+C143+C144+C145</f>
        <v>22444248</v>
      </c>
      <c r="D146" s="55">
        <f t="shared" ref="D146:E146" si="3">D141+D142+D143+D144+D145</f>
        <v>22444248</v>
      </c>
      <c r="E146" s="55">
        <f t="shared" si="3"/>
        <v>23566460.400000002</v>
      </c>
      <c r="F146" s="9"/>
    </row>
    <row r="147" spans="1:6" ht="15.65" x14ac:dyDescent="0.3">
      <c r="A147" s="34" t="s">
        <v>87</v>
      </c>
      <c r="B147" s="35" t="s">
        <v>87</v>
      </c>
      <c r="C147" s="55">
        <f>C139+C146</f>
        <v>1073147000</v>
      </c>
      <c r="D147" s="55">
        <f t="shared" ref="D147:E147" si="4">D139+D146</f>
        <v>1125682137.6000001</v>
      </c>
      <c r="E147" s="55">
        <f t="shared" si="4"/>
        <v>1181966244.4800003</v>
      </c>
    </row>
    <row r="148" spans="1:6" ht="15.65" x14ac:dyDescent="0.3">
      <c r="A148" s="42"/>
      <c r="B148" s="43"/>
      <c r="C148" s="56"/>
      <c r="D148" s="185"/>
      <c r="E148" s="40">
        <f t="shared" si="2"/>
        <v>0</v>
      </c>
    </row>
    <row r="149" spans="1:6" s="16" customFormat="1" ht="15.65" x14ac:dyDescent="0.3">
      <c r="A149" s="38">
        <v>3110500</v>
      </c>
      <c r="B149" s="39" t="s">
        <v>661</v>
      </c>
      <c r="C149" s="40">
        <f>C150</f>
        <v>195656926.90000001</v>
      </c>
      <c r="D149" s="40">
        <f>C149*105%</f>
        <v>205439773.245</v>
      </c>
      <c r="E149" s="40">
        <f>D149*105%</f>
        <v>215711761.90725002</v>
      </c>
    </row>
    <row r="150" spans="1:6" s="11" customFormat="1" ht="15.65" x14ac:dyDescent="0.3">
      <c r="A150" s="25">
        <v>3110504</v>
      </c>
      <c r="B150" s="24" t="s">
        <v>583</v>
      </c>
      <c r="C150" s="45">
        <f>-4343073.1+200000000</f>
        <v>195656926.90000001</v>
      </c>
      <c r="D150" s="41">
        <f>C150*105%</f>
        <v>205439773.245</v>
      </c>
      <c r="E150" s="41">
        <f>D150*105%</f>
        <v>215711761.90725002</v>
      </c>
    </row>
    <row r="151" spans="1:6" s="16" customFormat="1" ht="28.25" x14ac:dyDescent="0.3">
      <c r="A151" s="38">
        <v>3110600</v>
      </c>
      <c r="B151" s="46" t="s">
        <v>662</v>
      </c>
      <c r="C151" s="47">
        <f>C152</f>
        <v>0</v>
      </c>
      <c r="D151" s="47">
        <f t="shared" ref="D151:E151" si="5">D152</f>
        <v>0</v>
      </c>
      <c r="E151" s="47">
        <f t="shared" si="5"/>
        <v>0</v>
      </c>
    </row>
    <row r="152" spans="1:6" s="11" customFormat="1" ht="15.65" x14ac:dyDescent="0.3">
      <c r="A152" s="25">
        <v>3110604</v>
      </c>
      <c r="B152" s="30" t="s">
        <v>451</v>
      </c>
      <c r="C152" s="45">
        <v>0</v>
      </c>
      <c r="D152" s="45">
        <v>0</v>
      </c>
      <c r="E152" s="45">
        <v>0</v>
      </c>
    </row>
    <row r="153" spans="1:6" s="16" customFormat="1" ht="28.25" x14ac:dyDescent="0.3">
      <c r="A153" s="38">
        <v>3111100</v>
      </c>
      <c r="B153" s="46" t="s">
        <v>279</v>
      </c>
      <c r="C153" s="47">
        <f>C154</f>
        <v>0</v>
      </c>
      <c r="D153" s="47">
        <f t="shared" ref="D153:E153" si="6">D154</f>
        <v>0</v>
      </c>
      <c r="E153" s="47">
        <f t="shared" si="6"/>
        <v>0</v>
      </c>
    </row>
    <row r="154" spans="1:6" s="11" customFormat="1" ht="28.25" x14ac:dyDescent="0.3">
      <c r="A154" s="25">
        <v>3111111</v>
      </c>
      <c r="B154" s="30" t="s">
        <v>663</v>
      </c>
      <c r="C154" s="45">
        <v>0</v>
      </c>
      <c r="D154" s="45">
        <v>0</v>
      </c>
      <c r="E154" s="45">
        <v>0</v>
      </c>
    </row>
    <row r="155" spans="1:6" s="19" customFormat="1" ht="15.65" x14ac:dyDescent="0.3">
      <c r="A155" s="34" t="s">
        <v>664</v>
      </c>
      <c r="B155" s="35" t="s">
        <v>664</v>
      </c>
      <c r="C155" s="55">
        <v>190000000</v>
      </c>
      <c r="D155" s="55">
        <f t="shared" ref="D155:E155" si="7">D149+D151+D153</f>
        <v>205439773.245</v>
      </c>
      <c r="E155" s="55">
        <f t="shared" si="7"/>
        <v>215711761.90725002</v>
      </c>
    </row>
    <row r="156" spans="1:6" s="19" customFormat="1" ht="15.65" x14ac:dyDescent="0.3">
      <c r="A156" s="58"/>
      <c r="B156" s="57"/>
      <c r="C156" s="56"/>
      <c r="D156" s="185"/>
      <c r="E156" s="40">
        <f t="shared" ref="E156" si="8">D156*105%</f>
        <v>0</v>
      </c>
    </row>
    <row r="157" spans="1:6" s="19" customFormat="1" ht="15.65" x14ac:dyDescent="0.3">
      <c r="A157" s="58" t="s">
        <v>665</v>
      </c>
      <c r="B157" s="57" t="s">
        <v>665</v>
      </c>
      <c r="C157" s="55">
        <f>C147+C155</f>
        <v>1263147000</v>
      </c>
      <c r="D157" s="55">
        <f t="shared" ref="D157:E157" si="9">D147+D155</f>
        <v>1331121910.8450003</v>
      </c>
      <c r="E157" s="55">
        <f t="shared" si="9"/>
        <v>1397678006.3872502</v>
      </c>
    </row>
    <row r="158" spans="1:6" ht="15.65" x14ac:dyDescent="0.3">
      <c r="B158" s="156" t="s">
        <v>1277</v>
      </c>
      <c r="C158" s="661">
        <f>C157</f>
        <v>1263147000</v>
      </c>
      <c r="D158" s="661">
        <f t="shared" ref="D158:E158" si="10">D157</f>
        <v>1331121910.8450003</v>
      </c>
      <c r="E158" s="661">
        <f t="shared" si="10"/>
        <v>1397678006.3872502</v>
      </c>
    </row>
    <row r="159" spans="1:6" ht="15.65" x14ac:dyDescent="0.3">
      <c r="B159" s="156" t="s">
        <v>1193</v>
      </c>
      <c r="C159" s="714">
        <v>0</v>
      </c>
      <c r="D159" s="714">
        <v>0</v>
      </c>
      <c r="E159" s="714">
        <v>0</v>
      </c>
    </row>
    <row r="160" spans="1:6" ht="15.65" x14ac:dyDescent="0.3">
      <c r="B160" s="156" t="s">
        <v>1278</v>
      </c>
      <c r="C160" s="715">
        <f>C158-C159</f>
        <v>1263147000</v>
      </c>
      <c r="D160" s="715">
        <f t="shared" ref="D160:E160" si="11">D158-D159</f>
        <v>1331121910.8450003</v>
      </c>
      <c r="E160" s="715">
        <f t="shared" si="11"/>
        <v>1397678006.3872502</v>
      </c>
    </row>
    <row r="161" spans="3:3" ht="15.65" x14ac:dyDescent="0.3">
      <c r="C161" s="66"/>
    </row>
    <row r="164" spans="3:3" ht="15.65" x14ac:dyDescent="0.3">
      <c r="C164" s="189"/>
    </row>
    <row r="165" spans="3:3" ht="15.65" x14ac:dyDescent="0.3">
      <c r="C165" s="189"/>
    </row>
    <row r="166" spans="3:3" ht="15.65" x14ac:dyDescent="0.3">
      <c r="C166" s="189"/>
    </row>
    <row r="169" spans="3:3" ht="15.65" x14ac:dyDescent="0.3">
      <c r="C169" s="66"/>
    </row>
  </sheetData>
  <pageMargins left="0.7" right="0.7" top="0.75" bottom="0.75" header="0.3" footer="0.3"/>
  <pageSetup paperSize="9" scale="72" orientation="portrait" r:id="rId1"/>
  <colBreaks count="1" manualBreakCount="1">
    <brk id="5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view="pageBreakPreview" zoomScale="60" zoomScaleNormal="100" workbookViewId="0">
      <selection activeCell="N29" sqref="N29"/>
    </sheetView>
  </sheetViews>
  <sheetFormatPr defaultColWidth="8.90625" defaultRowHeight="14" x14ac:dyDescent="0.3"/>
  <cols>
    <col min="1" max="1" width="39" style="130" customWidth="1"/>
    <col min="2" max="2" width="18.08984375" style="203" customWidth="1"/>
    <col min="3" max="3" width="16" style="203" customWidth="1"/>
    <col min="4" max="4" width="18" style="130" customWidth="1"/>
    <col min="5" max="5" width="19.90625" style="203" customWidth="1"/>
    <col min="6" max="6" width="18" style="203" customWidth="1"/>
    <col min="7" max="7" width="18.90625" style="203" customWidth="1"/>
    <col min="8" max="8" width="18.36328125" style="203" customWidth="1"/>
    <col min="9" max="9" width="20.36328125" style="203" customWidth="1"/>
    <col min="10" max="10" width="20.36328125" style="130" customWidth="1"/>
    <col min="11" max="16384" width="8.90625" style="130"/>
  </cols>
  <sheetData>
    <row r="1" spans="1:10" s="122" customFormat="1" ht="45" customHeight="1" x14ac:dyDescent="0.25">
      <c r="A1" s="822" t="s">
        <v>1305</v>
      </c>
      <c r="B1" s="822"/>
      <c r="C1" s="822"/>
      <c r="D1" s="822"/>
      <c r="E1" s="822"/>
      <c r="F1" s="822"/>
      <c r="G1" s="822"/>
      <c r="H1" s="822"/>
      <c r="I1" s="823"/>
    </row>
    <row r="2" spans="1:10" s="207" customFormat="1" ht="41.4" x14ac:dyDescent="0.25">
      <c r="A2" s="206" t="s">
        <v>1226</v>
      </c>
      <c r="B2" s="752" t="s">
        <v>387</v>
      </c>
      <c r="C2" s="752" t="s">
        <v>1196</v>
      </c>
      <c r="D2" s="206" t="s">
        <v>1195</v>
      </c>
      <c r="E2" s="206" t="s">
        <v>384</v>
      </c>
      <c r="F2" s="206" t="s">
        <v>1197</v>
      </c>
      <c r="G2" s="206" t="s">
        <v>1196</v>
      </c>
      <c r="H2" s="205" t="s">
        <v>385</v>
      </c>
      <c r="I2" s="206" t="s">
        <v>161</v>
      </c>
      <c r="J2" s="750" t="s">
        <v>1231</v>
      </c>
    </row>
    <row r="3" spans="1:10" ht="27.65" x14ac:dyDescent="0.25">
      <c r="A3" s="790" t="s">
        <v>1306</v>
      </c>
      <c r="B3" s="200">
        <f>Agriculture!C5+Agriculture!C7+Agriculture!C164+Agriculture!C284+Agriculture!C286</f>
        <v>333313299.20000029</v>
      </c>
      <c r="C3" s="200"/>
      <c r="D3" s="753">
        <f>E3-C3-B3</f>
        <v>37350244.800000012</v>
      </c>
      <c r="E3" s="200">
        <f>Agriculture!C408</f>
        <v>370663544.0000003</v>
      </c>
      <c r="F3" s="200">
        <f>H3-G3</f>
        <v>475125228.52480006</v>
      </c>
      <c r="G3" s="200">
        <f>37950000+151515152</f>
        <v>189465152</v>
      </c>
      <c r="H3" s="200">
        <f>Agriculture!C409</f>
        <v>664590380.52480006</v>
      </c>
      <c r="I3" s="200">
        <f t="shared" ref="I3:I32" si="0">E3+H3</f>
        <v>1035253924.5248003</v>
      </c>
      <c r="J3" s="751">
        <v>7712499.9750000006</v>
      </c>
    </row>
    <row r="4" spans="1:10" ht="13.75" x14ac:dyDescent="0.25">
      <c r="A4" s="201" t="s">
        <v>1041</v>
      </c>
      <c r="B4" s="200">
        <f>Education!B4</f>
        <v>1192895524</v>
      </c>
      <c r="C4" s="200"/>
      <c r="D4" s="753">
        <f t="shared" ref="D4:D32" si="1">E4-C4-B4</f>
        <v>60257094</v>
      </c>
      <c r="E4" s="200">
        <f>Education!B59+Education!B111</f>
        <v>1253152618</v>
      </c>
      <c r="F4" s="200">
        <f t="shared" ref="F4:F32" si="2">H4-G4</f>
        <v>177902000</v>
      </c>
      <c r="G4" s="200"/>
      <c r="H4" s="200">
        <f>Education!B73+Education!B121</f>
        <v>177902000</v>
      </c>
      <c r="I4" s="200">
        <f t="shared" si="0"/>
        <v>1431054618</v>
      </c>
      <c r="J4" s="751">
        <v>2258000</v>
      </c>
    </row>
    <row r="5" spans="1:10" ht="13.75" x14ac:dyDescent="0.25">
      <c r="A5" s="201" t="s">
        <v>1042</v>
      </c>
      <c r="B5" s="200">
        <f>Health!C5+Health!C7</f>
        <v>2860806131.7877507</v>
      </c>
      <c r="C5" s="200">
        <f>Health!C10+Health!C11+7400000+107400000</f>
        <v>130015750</v>
      </c>
      <c r="D5" s="753">
        <f t="shared" si="1"/>
        <v>104574141.53999996</v>
      </c>
      <c r="E5" s="200">
        <f>Health!C84</f>
        <v>3095396023.3277507</v>
      </c>
      <c r="F5" s="200">
        <f t="shared" si="2"/>
        <v>73720159.150000006</v>
      </c>
      <c r="G5" s="200"/>
      <c r="H5" s="200">
        <f>Health!C93</f>
        <v>73720159.150000006</v>
      </c>
      <c r="I5" s="200">
        <f t="shared" si="0"/>
        <v>3169116182.4777508</v>
      </c>
      <c r="J5" s="751">
        <v>3195797.85</v>
      </c>
    </row>
    <row r="6" spans="1:10" ht="13.75" x14ac:dyDescent="0.25">
      <c r="A6" s="201" t="s">
        <v>1043</v>
      </c>
      <c r="B6" s="200"/>
      <c r="C6" s="200">
        <v>105600000</v>
      </c>
      <c r="D6" s="753">
        <f t="shared" si="1"/>
        <v>1063647400.9425831</v>
      </c>
      <c r="E6" s="200">
        <f>Health!C1186+Health!C1282</f>
        <v>1169247400.9425831</v>
      </c>
      <c r="F6" s="200">
        <f t="shared" si="2"/>
        <v>0</v>
      </c>
      <c r="G6" s="200"/>
      <c r="H6" s="200">
        <v>0</v>
      </c>
      <c r="I6" s="200">
        <f t="shared" si="0"/>
        <v>1169247400.9425831</v>
      </c>
      <c r="J6" s="751">
        <v>0</v>
      </c>
    </row>
    <row r="7" spans="1:10" ht="13.75" x14ac:dyDescent="0.25">
      <c r="A7" s="201" t="s">
        <v>310</v>
      </c>
      <c r="B7" s="200"/>
      <c r="C7" s="200"/>
      <c r="D7" s="753">
        <f t="shared" si="1"/>
        <v>1248350.024</v>
      </c>
      <c r="E7" s="200">
        <f>Health!C146</f>
        <v>1248350.024</v>
      </c>
      <c r="F7" s="200">
        <f t="shared" si="2"/>
        <v>8460702.8499999996</v>
      </c>
      <c r="G7" s="200"/>
      <c r="H7" s="200">
        <f>Health!C152</f>
        <v>8460702.8499999996</v>
      </c>
      <c r="I7" s="200">
        <f t="shared" si="0"/>
        <v>9709052.8739999998</v>
      </c>
      <c r="J7" s="751">
        <v>445300.15</v>
      </c>
    </row>
    <row r="8" spans="1:10" ht="13.75" x14ac:dyDescent="0.25">
      <c r="A8" s="201" t="s">
        <v>1044</v>
      </c>
      <c r="B8" s="200">
        <f>Roads!C4</f>
        <v>83840763.003999993</v>
      </c>
      <c r="C8" s="200"/>
      <c r="D8" s="753">
        <f t="shared" si="1"/>
        <v>37519937</v>
      </c>
      <c r="E8" s="200">
        <f>Roads!C51</f>
        <v>121360700.00399999</v>
      </c>
      <c r="F8" s="200">
        <f t="shared" si="2"/>
        <v>422990894</v>
      </c>
      <c r="G8" s="200">
        <v>184554999</v>
      </c>
      <c r="H8" s="200">
        <f>Roads!C66</f>
        <v>607545893</v>
      </c>
      <c r="I8" s="200">
        <f t="shared" si="0"/>
        <v>728906593.00399995</v>
      </c>
      <c r="J8" s="751">
        <v>15500000</v>
      </c>
    </row>
    <row r="9" spans="1:10" ht="13.75" x14ac:dyDescent="0.25">
      <c r="A9" s="201" t="s">
        <v>667</v>
      </c>
      <c r="B9" s="200">
        <f>Trade!C3</f>
        <v>15787088.119999999</v>
      </c>
      <c r="C9" s="200"/>
      <c r="D9" s="753">
        <f t="shared" si="1"/>
        <v>28469235.399999999</v>
      </c>
      <c r="E9" s="200">
        <f>Trade!C71</f>
        <v>44256323.519999996</v>
      </c>
      <c r="F9" s="200">
        <f t="shared" si="2"/>
        <v>61417050.5</v>
      </c>
      <c r="G9" s="200"/>
      <c r="H9" s="200">
        <f>Trade!C75+Trade!C79</f>
        <v>61417050.5</v>
      </c>
      <c r="I9" s="200">
        <f t="shared" si="0"/>
        <v>105673374.02</v>
      </c>
      <c r="J9" s="751">
        <v>2500000.0249999999</v>
      </c>
    </row>
    <row r="10" spans="1:10" ht="13.75" x14ac:dyDescent="0.25">
      <c r="A10" s="201" t="s">
        <v>1045</v>
      </c>
      <c r="B10" s="200"/>
      <c r="C10" s="200"/>
      <c r="D10" s="753">
        <f t="shared" si="1"/>
        <v>0</v>
      </c>
      <c r="E10" s="200"/>
      <c r="F10" s="200">
        <f t="shared" si="2"/>
        <v>30000000</v>
      </c>
      <c r="G10" s="200"/>
      <c r="H10" s="200">
        <f>Trade!C74</f>
        <v>30000000</v>
      </c>
      <c r="I10" s="200">
        <f t="shared" si="0"/>
        <v>30000000</v>
      </c>
      <c r="J10" s="751">
        <v>0</v>
      </c>
    </row>
    <row r="11" spans="1:10" ht="13.75" x14ac:dyDescent="0.25">
      <c r="A11" s="201" t="s">
        <v>1046</v>
      </c>
      <c r="B11" s="200">
        <f>Trade!C84</f>
        <v>3533936</v>
      </c>
      <c r="C11" s="200"/>
      <c r="D11" s="753">
        <f t="shared" si="1"/>
        <v>11922106.359999999</v>
      </c>
      <c r="E11" s="200">
        <f>Trade!C153</f>
        <v>15456042.359999999</v>
      </c>
      <c r="F11" s="200">
        <f t="shared" si="2"/>
        <v>15033313.950000003</v>
      </c>
      <c r="G11" s="200">
        <v>45000000</v>
      </c>
      <c r="H11" s="200">
        <f>Trade!C159</f>
        <v>60033313.950000003</v>
      </c>
      <c r="I11" s="200">
        <f t="shared" si="0"/>
        <v>75489356.310000002</v>
      </c>
      <c r="J11" s="751">
        <v>791227.05</v>
      </c>
    </row>
    <row r="12" spans="1:10" ht="13.75" x14ac:dyDescent="0.25">
      <c r="A12" s="201" t="s">
        <v>700</v>
      </c>
      <c r="B12" s="200">
        <f>Trade!C163</f>
        <v>869900</v>
      </c>
      <c r="C12" s="200"/>
      <c r="D12" s="753">
        <f t="shared" si="1"/>
        <v>8536456</v>
      </c>
      <c r="E12" s="200">
        <f>Trade!C231</f>
        <v>9406356</v>
      </c>
      <c r="F12" s="200">
        <f t="shared" si="2"/>
        <v>90000000</v>
      </c>
      <c r="G12" s="200"/>
      <c r="H12" s="200">
        <f>Trade!C238</f>
        <v>90000000</v>
      </c>
      <c r="I12" s="200">
        <f t="shared" si="0"/>
        <v>99406356</v>
      </c>
      <c r="J12" s="751">
        <v>0</v>
      </c>
    </row>
    <row r="13" spans="1:10" ht="13.75" x14ac:dyDescent="0.25">
      <c r="A13" s="201" t="s">
        <v>386</v>
      </c>
      <c r="B13" s="200">
        <f>'Lands &amp;hsing &amp; municipalities'!C4</f>
        <v>27177203</v>
      </c>
      <c r="C13" s="200"/>
      <c r="D13" s="753">
        <f t="shared" si="1"/>
        <v>32726305</v>
      </c>
      <c r="E13" s="200">
        <f>'Lands &amp;hsing &amp; municipalities'!C56</f>
        <v>59903508</v>
      </c>
      <c r="F13" s="200">
        <f t="shared" si="2"/>
        <v>7490043.0250000004</v>
      </c>
      <c r="G13" s="200"/>
      <c r="H13" s="200">
        <f>'Lands &amp;hsing &amp; municipalities'!C66</f>
        <v>7490043.0250000004</v>
      </c>
      <c r="I13" s="200">
        <f t="shared" si="0"/>
        <v>67393551.025000006</v>
      </c>
      <c r="J13" s="751">
        <v>329959.47500000003</v>
      </c>
    </row>
    <row r="14" spans="1:10" ht="13.75" x14ac:dyDescent="0.25">
      <c r="A14" s="201" t="s">
        <v>380</v>
      </c>
      <c r="B14" s="200">
        <f>'Lands &amp;hsing &amp; municipalities'!C70</f>
        <v>11414925</v>
      </c>
      <c r="C14" s="200"/>
      <c r="D14" s="753">
        <f t="shared" si="1"/>
        <v>27465662</v>
      </c>
      <c r="E14" s="200">
        <f>'Lands &amp;hsing &amp; municipalities'!C123</f>
        <v>38880587</v>
      </c>
      <c r="F14" s="200">
        <f t="shared" si="2"/>
        <v>129899291</v>
      </c>
      <c r="G14" s="200">
        <v>297400190</v>
      </c>
      <c r="H14" s="200">
        <f>'Lands &amp;hsing &amp; municipalities'!C141</f>
        <v>427299481</v>
      </c>
      <c r="I14" s="200">
        <f t="shared" si="0"/>
        <v>466180068</v>
      </c>
      <c r="J14" s="751">
        <v>6310489</v>
      </c>
    </row>
    <row r="15" spans="1:10" ht="13.75" x14ac:dyDescent="0.25">
      <c r="A15" s="201" t="s">
        <v>1047</v>
      </c>
      <c r="B15" s="200">
        <f>'Lands &amp;hsing &amp; municipalities'!C147</f>
        <v>20242043</v>
      </c>
      <c r="C15" s="200"/>
      <c r="D15" s="753">
        <f t="shared" si="1"/>
        <v>65197930</v>
      </c>
      <c r="E15" s="200">
        <f>'Lands &amp;hsing &amp; municipalities'!C239</f>
        <v>85439973</v>
      </c>
      <c r="F15" s="200">
        <f t="shared" si="2"/>
        <v>66500000</v>
      </c>
      <c r="G15" s="200"/>
      <c r="H15" s="200">
        <f>'Lands &amp;hsing &amp; municipalities'!C251</f>
        <v>66500000</v>
      </c>
      <c r="I15" s="200">
        <f t="shared" si="0"/>
        <v>151939973</v>
      </c>
      <c r="J15" s="751">
        <v>3500000</v>
      </c>
    </row>
    <row r="16" spans="1:10" ht="13.75" x14ac:dyDescent="0.25">
      <c r="A16" s="201" t="s">
        <v>1048</v>
      </c>
      <c r="B16" s="200">
        <f>'Lands &amp;hsing &amp; municipalities'!C258</f>
        <v>16317362</v>
      </c>
      <c r="C16" s="200"/>
      <c r="D16" s="753">
        <f t="shared" si="1"/>
        <v>54730855</v>
      </c>
      <c r="E16" s="200">
        <f>'Lands &amp;hsing &amp; municipalities'!C307</f>
        <v>71048217</v>
      </c>
      <c r="F16" s="200">
        <f t="shared" si="2"/>
        <v>36611882</v>
      </c>
      <c r="G16" s="200"/>
      <c r="H16" s="200">
        <f>'Lands &amp;hsing &amp; municipalities'!C322</f>
        <v>36611882</v>
      </c>
      <c r="I16" s="200">
        <f t="shared" si="0"/>
        <v>107660099</v>
      </c>
      <c r="J16" s="751">
        <v>1926941.1500000001</v>
      </c>
    </row>
    <row r="17" spans="1:10" ht="13.75" x14ac:dyDescent="0.25">
      <c r="A17" s="201" t="s">
        <v>1049</v>
      </c>
      <c r="B17" s="200">
        <f>'Tourism &amp; water'!C3</f>
        <v>35083852</v>
      </c>
      <c r="C17" s="200">
        <f>'Tourism &amp; water'!C51</f>
        <v>11000000</v>
      </c>
      <c r="D17" s="753">
        <f t="shared" si="1"/>
        <v>20173077.200000003</v>
      </c>
      <c r="E17" s="200">
        <f>'Tourism &amp; water'!C59</f>
        <v>66256929.200000003</v>
      </c>
      <c r="F17" s="200">
        <f t="shared" si="2"/>
        <v>419099777</v>
      </c>
      <c r="G17" s="200">
        <f>'Tourism &amp; water'!C65</f>
        <v>153488888</v>
      </c>
      <c r="H17" s="200">
        <f>'Tourism &amp; water'!C69</f>
        <v>572588665</v>
      </c>
      <c r="I17" s="200">
        <f t="shared" si="0"/>
        <v>638845594.20000005</v>
      </c>
      <c r="J17" s="751">
        <v>0</v>
      </c>
    </row>
    <row r="18" spans="1:10" ht="13.75" x14ac:dyDescent="0.25">
      <c r="A18" s="201" t="s">
        <v>1050</v>
      </c>
      <c r="B18" s="200">
        <f>'Tourism &amp; water'!C72</f>
        <v>43951391</v>
      </c>
      <c r="C18" s="200"/>
      <c r="D18" s="753">
        <f t="shared" si="1"/>
        <v>32306606</v>
      </c>
      <c r="E18" s="200">
        <f>'Tourism &amp; water'!C126</f>
        <v>76257997</v>
      </c>
      <c r="F18" s="200">
        <f t="shared" si="2"/>
        <v>31789689.350000024</v>
      </c>
      <c r="G18" s="200">
        <f>'Tourism &amp; water'!C132</f>
        <v>500000000</v>
      </c>
      <c r="H18" s="200">
        <f>'Tourism &amp; water'!C140</f>
        <v>531789689.35000002</v>
      </c>
      <c r="I18" s="200">
        <f t="shared" si="0"/>
        <v>608047686.35000002</v>
      </c>
      <c r="J18" s="751">
        <v>1109875.6500000001</v>
      </c>
    </row>
    <row r="19" spans="1:10" ht="13.75" x14ac:dyDescent="0.25">
      <c r="A19" s="201" t="s">
        <v>381</v>
      </c>
      <c r="B19" s="200">
        <f>Gender!C4</f>
        <v>45499976</v>
      </c>
      <c r="C19" s="200"/>
      <c r="D19" s="753">
        <f t="shared" si="1"/>
        <v>22434807</v>
      </c>
      <c r="E19" s="200">
        <f>Gender!C69</f>
        <v>67934783</v>
      </c>
      <c r="F19" s="200">
        <f t="shared" si="2"/>
        <v>18164662.699999999</v>
      </c>
      <c r="G19" s="200"/>
      <c r="H19" s="200">
        <f>Gender!C71</f>
        <v>18164662.699999999</v>
      </c>
      <c r="I19" s="200">
        <f t="shared" si="0"/>
        <v>86099445.700000003</v>
      </c>
      <c r="J19" s="751">
        <v>924737.3</v>
      </c>
    </row>
    <row r="20" spans="1:10" ht="13.75" x14ac:dyDescent="0.25">
      <c r="A20" s="201" t="s">
        <v>762</v>
      </c>
      <c r="B20" s="200"/>
      <c r="C20" s="200"/>
      <c r="D20" s="753">
        <f t="shared" si="1"/>
        <v>0</v>
      </c>
      <c r="E20" s="200"/>
      <c r="F20" s="200">
        <f t="shared" si="2"/>
        <v>10000000</v>
      </c>
      <c r="G20" s="200"/>
      <c r="H20" s="200">
        <f>Gender!C75</f>
        <v>10000000</v>
      </c>
      <c r="I20" s="200">
        <f t="shared" si="0"/>
        <v>10000000</v>
      </c>
      <c r="J20" s="751">
        <v>0</v>
      </c>
    </row>
    <row r="21" spans="1:10" ht="13.75" x14ac:dyDescent="0.25">
      <c r="A21" s="201" t="s">
        <v>1051</v>
      </c>
      <c r="B21" s="200"/>
      <c r="C21" s="200"/>
      <c r="D21" s="753">
        <f t="shared" si="1"/>
        <v>0</v>
      </c>
      <c r="E21" s="200"/>
      <c r="F21" s="200">
        <f t="shared" si="2"/>
        <v>10000000</v>
      </c>
      <c r="G21" s="200"/>
      <c r="H21" s="200">
        <f>Gender!C76</f>
        <v>10000000</v>
      </c>
      <c r="I21" s="200">
        <f t="shared" si="0"/>
        <v>10000000</v>
      </c>
      <c r="J21" s="751">
        <v>0</v>
      </c>
    </row>
    <row r="22" spans="1:10" ht="13.75" x14ac:dyDescent="0.25">
      <c r="A22" s="201" t="s">
        <v>1052</v>
      </c>
      <c r="B22" s="200">
        <f>Gender!C83</f>
        <v>12649658</v>
      </c>
      <c r="C22" s="200"/>
      <c r="D22" s="753">
        <f t="shared" si="1"/>
        <v>10446355</v>
      </c>
      <c r="E22" s="200">
        <f>Gender!C139</f>
        <v>23096013</v>
      </c>
      <c r="F22" s="200">
        <f t="shared" si="2"/>
        <v>28817067.649999999</v>
      </c>
      <c r="G22" s="200"/>
      <c r="H22" s="200">
        <f>Gender!C145+Gender!C146</f>
        <v>28817067.649999999</v>
      </c>
      <c r="I22" s="200">
        <f t="shared" si="0"/>
        <v>51913080.649999999</v>
      </c>
      <c r="J22" s="751">
        <v>569319.35</v>
      </c>
    </row>
    <row r="23" spans="1:10" ht="13.75" x14ac:dyDescent="0.25">
      <c r="A23" s="201" t="s">
        <v>764</v>
      </c>
      <c r="B23" s="200"/>
      <c r="C23" s="200"/>
      <c r="D23" s="753">
        <f t="shared" si="1"/>
        <v>0</v>
      </c>
      <c r="E23" s="201"/>
      <c r="F23" s="200">
        <f t="shared" si="2"/>
        <v>10000000</v>
      </c>
      <c r="G23" s="201"/>
      <c r="H23" s="200">
        <f>Gender!C149</f>
        <v>10000000</v>
      </c>
      <c r="I23" s="200">
        <f t="shared" si="0"/>
        <v>10000000</v>
      </c>
      <c r="J23" s="751">
        <v>0</v>
      </c>
    </row>
    <row r="24" spans="1:10" ht="13.75" x14ac:dyDescent="0.25">
      <c r="A24" s="201" t="s">
        <v>1053</v>
      </c>
      <c r="B24" s="200">
        <f>Finance!B4+Finance!B6+Finance!B9+Finance!B12+Finance!B16-C24</f>
        <v>446389549</v>
      </c>
      <c r="C24" s="200">
        <f>Finance!B22+Finance!B23</f>
        <v>350272591</v>
      </c>
      <c r="D24" s="753">
        <f t="shared" si="1"/>
        <v>340997595</v>
      </c>
      <c r="E24" s="200">
        <f>Summary!E24</f>
        <v>1137659735</v>
      </c>
      <c r="F24" s="200">
        <f t="shared" si="2"/>
        <v>155718949.44999999</v>
      </c>
      <c r="G24" s="200"/>
      <c r="H24" s="200">
        <f>Finance!B454</f>
        <v>155718949.44999999</v>
      </c>
      <c r="I24" s="200">
        <f t="shared" si="0"/>
        <v>1293378684.45</v>
      </c>
      <c r="J24" s="751">
        <v>3062005.5500000003</v>
      </c>
    </row>
    <row r="25" spans="1:10" ht="13.75" x14ac:dyDescent="0.25">
      <c r="A25" s="201" t="s">
        <v>1054</v>
      </c>
      <c r="B25" s="200">
        <f>'Public Admin'!C2</f>
        <v>441754551</v>
      </c>
      <c r="C25" s="200"/>
      <c r="D25" s="753">
        <f t="shared" si="1"/>
        <v>451445180</v>
      </c>
      <c r="E25" s="200">
        <f>'Public Admin'!C81</f>
        <v>893199731</v>
      </c>
      <c r="F25" s="200">
        <f t="shared" si="2"/>
        <v>11191092.449999999</v>
      </c>
      <c r="G25" s="200"/>
      <c r="H25" s="200">
        <f>'Public Admin'!C98</f>
        <v>11191092.449999999</v>
      </c>
      <c r="I25" s="200">
        <f t="shared" si="0"/>
        <v>904390823.45000005</v>
      </c>
      <c r="J25" s="751">
        <v>558313.55000000005</v>
      </c>
    </row>
    <row r="26" spans="1:10" ht="13.75" x14ac:dyDescent="0.25">
      <c r="A26" s="201" t="s">
        <v>383</v>
      </c>
      <c r="B26" s="200"/>
      <c r="C26" s="200"/>
      <c r="D26" s="753">
        <f t="shared" si="1"/>
        <v>12265905</v>
      </c>
      <c r="E26" s="200">
        <f>'Public Admin'!C90</f>
        <v>12265905</v>
      </c>
      <c r="F26" s="200">
        <f t="shared" si="2"/>
        <v>0</v>
      </c>
      <c r="G26" s="200"/>
      <c r="H26" s="200"/>
      <c r="I26" s="200">
        <f t="shared" si="0"/>
        <v>12265905</v>
      </c>
      <c r="J26" s="751">
        <v>0</v>
      </c>
    </row>
    <row r="27" spans="1:10" ht="13.75" x14ac:dyDescent="0.25">
      <c r="A27" s="201" t="s">
        <v>1055</v>
      </c>
      <c r="B27" s="200"/>
      <c r="C27" s="200">
        <v>37500000</v>
      </c>
      <c r="D27" s="753">
        <f t="shared" si="1"/>
        <v>44400848</v>
      </c>
      <c r="E27" s="200">
        <f>'Public Admin'!C172+'Public Admin'!C176+'Public Admin'!C181+'Public Admin'!C250</f>
        <v>81900848</v>
      </c>
      <c r="F27" s="200">
        <f t="shared" si="2"/>
        <v>0</v>
      </c>
      <c r="G27" s="200"/>
      <c r="H27" s="200"/>
      <c r="I27" s="200">
        <f t="shared" si="0"/>
        <v>81900848</v>
      </c>
      <c r="J27" s="751">
        <v>0</v>
      </c>
    </row>
    <row r="28" spans="1:10" x14ac:dyDescent="0.3">
      <c r="A28" s="201" t="s">
        <v>1056</v>
      </c>
      <c r="B28" s="200">
        <f>Gov.!C2</f>
        <v>288162432</v>
      </c>
      <c r="C28" s="200"/>
      <c r="D28" s="753">
        <f t="shared" si="1"/>
        <v>192206387</v>
      </c>
      <c r="E28" s="200">
        <f>Summary!E28</f>
        <v>480368819</v>
      </c>
      <c r="F28" s="200">
        <f t="shared" si="2"/>
        <v>0</v>
      </c>
      <c r="G28" s="200"/>
      <c r="H28" s="200"/>
      <c r="I28" s="200">
        <f t="shared" si="0"/>
        <v>480368819</v>
      </c>
      <c r="J28" s="751">
        <v>0</v>
      </c>
    </row>
    <row r="29" spans="1:10" x14ac:dyDescent="0.3">
      <c r="A29" s="201" t="s">
        <v>1057</v>
      </c>
      <c r="B29" s="200"/>
      <c r="C29" s="200"/>
      <c r="D29" s="753">
        <f t="shared" si="1"/>
        <v>38642390</v>
      </c>
      <c r="E29" s="200">
        <f>Gov.!C149</f>
        <v>38642390</v>
      </c>
      <c r="F29" s="200">
        <f t="shared" si="2"/>
        <v>0</v>
      </c>
      <c r="G29" s="200"/>
      <c r="H29" s="200"/>
      <c r="I29" s="200">
        <f t="shared" si="0"/>
        <v>38642390</v>
      </c>
      <c r="J29" s="751">
        <v>0</v>
      </c>
    </row>
    <row r="30" spans="1:10" ht="13.75" x14ac:dyDescent="0.25">
      <c r="A30" s="201" t="s">
        <v>545</v>
      </c>
      <c r="B30" s="200">
        <f>CPSB!C3</f>
        <v>11712720</v>
      </c>
      <c r="C30" s="200"/>
      <c r="D30" s="753">
        <f t="shared" si="1"/>
        <v>35197404</v>
      </c>
      <c r="E30" s="200">
        <f>CPSB!C53</f>
        <v>46910124</v>
      </c>
      <c r="F30" s="200">
        <f t="shared" si="2"/>
        <v>16018306.4</v>
      </c>
      <c r="G30" s="200"/>
      <c r="H30" s="200">
        <f>CPSB!C57</f>
        <v>16018306.4</v>
      </c>
      <c r="I30" s="200">
        <f t="shared" si="0"/>
        <v>62928430.399999999</v>
      </c>
      <c r="J30" s="751">
        <v>1071651.6000000001</v>
      </c>
    </row>
    <row r="31" spans="1:10" ht="13.75" x14ac:dyDescent="0.25">
      <c r="A31" s="201" t="s">
        <v>382</v>
      </c>
      <c r="B31" s="200">
        <f>Assembly!C4+Assembly!C6+Assembly!C10+Assembly!C23+Assembly!C25</f>
        <v>482933500</v>
      </c>
      <c r="C31" s="200"/>
      <c r="D31" s="753">
        <f t="shared" si="1"/>
        <v>590213500</v>
      </c>
      <c r="E31" s="200">
        <f>Summary!E31</f>
        <v>1073147000</v>
      </c>
      <c r="F31" s="200">
        <f t="shared" si="2"/>
        <v>190000000</v>
      </c>
      <c r="G31" s="200"/>
      <c r="H31" s="200">
        <f>Summary!F31</f>
        <v>190000000</v>
      </c>
      <c r="I31" s="200">
        <f t="shared" si="0"/>
        <v>1263147000</v>
      </c>
      <c r="J31" s="751">
        <v>4343073.1000000006</v>
      </c>
    </row>
    <row r="32" spans="1:10" ht="13.75" x14ac:dyDescent="0.25">
      <c r="A32" s="201" t="s">
        <v>94</v>
      </c>
      <c r="B32" s="200"/>
      <c r="C32" s="200"/>
      <c r="D32" s="753">
        <f t="shared" si="1"/>
        <v>0</v>
      </c>
      <c r="E32" s="201">
        <v>0</v>
      </c>
      <c r="F32" s="200">
        <f t="shared" si="2"/>
        <v>1025999999.544</v>
      </c>
      <c r="G32" s="201"/>
      <c r="H32" s="200">
        <f>Summary!F32</f>
        <v>1025999999.544</v>
      </c>
      <c r="I32" s="200">
        <f t="shared" si="0"/>
        <v>1025999999.544</v>
      </c>
      <c r="J32" s="751">
        <v>53999999.976000004</v>
      </c>
    </row>
    <row r="33" spans="1:10" s="122" customFormat="1" ht="13.75" x14ac:dyDescent="0.25">
      <c r="A33" s="754" t="s">
        <v>1058</v>
      </c>
      <c r="B33" s="202">
        <f>SUM(B3:B32)</f>
        <v>6374335804.1117506</v>
      </c>
      <c r="C33" s="202">
        <f>SUM(C3:C32)</f>
        <v>634388341</v>
      </c>
      <c r="D33" s="202">
        <f t="shared" ref="D33:I33" si="3">SUM(D3:D32)</f>
        <v>3324375772.266583</v>
      </c>
      <c r="E33" s="202">
        <f t="shared" si="3"/>
        <v>10333099917.378334</v>
      </c>
      <c r="F33" s="202">
        <f t="shared" si="3"/>
        <v>3521950109.5438004</v>
      </c>
      <c r="G33" s="202">
        <f t="shared" si="3"/>
        <v>1369909229</v>
      </c>
      <c r="H33" s="202">
        <f t="shared" si="3"/>
        <v>4891859338.5437994</v>
      </c>
      <c r="I33" s="202">
        <f t="shared" si="3"/>
        <v>15224959255.922138</v>
      </c>
      <c r="J33" s="751">
        <v>110109190.751</v>
      </c>
    </row>
    <row r="34" spans="1:10" s="122" customFormat="1" ht="13.75" x14ac:dyDescent="0.25">
      <c r="A34" s="754" t="s">
        <v>1307</v>
      </c>
      <c r="B34" s="791">
        <f>B33/I33</f>
        <v>0.41867670691021974</v>
      </c>
      <c r="C34" s="791">
        <f>C33/I33</f>
        <v>4.1667654430880552E-2</v>
      </c>
      <c r="D34" s="791">
        <f>D33/I33</f>
        <v>0.2183503887521723</v>
      </c>
      <c r="E34" s="791">
        <f>E33/I33</f>
        <v>0.67869475009327263</v>
      </c>
      <c r="F34" s="791">
        <f>F33/I33</f>
        <v>0.23132739144598022</v>
      </c>
      <c r="G34" s="791">
        <f>G33/I33</f>
        <v>8.9977858460746865E-2</v>
      </c>
      <c r="H34" s="791">
        <f>H33/I33</f>
        <v>0.32130524990672704</v>
      </c>
      <c r="I34" s="791">
        <f>I33/I33</f>
        <v>1</v>
      </c>
    </row>
    <row r="35" spans="1:10" ht="13.75" x14ac:dyDescent="0.25">
      <c r="D35" s="190">
        <f>C33+D33</f>
        <v>3958764113.266583</v>
      </c>
      <c r="E35" s="130"/>
      <c r="H35" s="130"/>
    </row>
    <row r="36" spans="1:10" ht="13.75" x14ac:dyDescent="0.25">
      <c r="D36" s="749">
        <f>E34-B34</f>
        <v>0.26001804318305288</v>
      </c>
      <c r="I36" s="203">
        <f>I33-I34</f>
        <v>15224959254.922138</v>
      </c>
    </row>
    <row r="38" spans="1:10" ht="13.75" x14ac:dyDescent="0.25">
      <c r="I38" s="203" t="e">
        <f>#REF!-#REF!</f>
        <v>#REF!</v>
      </c>
    </row>
    <row r="40" spans="1:10" ht="14.4" x14ac:dyDescent="0.25">
      <c r="D40" s="190">
        <f>C33+G33</f>
        <v>2004297570</v>
      </c>
    </row>
    <row r="41" spans="1:10" ht="14.4" x14ac:dyDescent="0.25">
      <c r="E41" s="755">
        <f>D40/I33</f>
        <v>0.1316455128916274</v>
      </c>
    </row>
    <row r="45" spans="1:10" ht="13.75" x14ac:dyDescent="0.25">
      <c r="G45" s="203" t="s">
        <v>1227</v>
      </c>
    </row>
  </sheetData>
  <mergeCells count="1">
    <mergeCell ref="A1:I1"/>
  </mergeCells>
  <pageMargins left="0.7" right="0.7" top="0.75" bottom="0.75" header="0.3" footer="0.3"/>
  <pageSetup paperSize="9" scale="70" orientation="landscape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view="pageBreakPreview" zoomScale="60" zoomScaleNormal="100" workbookViewId="0">
      <selection activeCell="R28" sqref="R28"/>
    </sheetView>
  </sheetViews>
  <sheetFormatPr defaultColWidth="8.90625" defaultRowHeight="14" x14ac:dyDescent="0.3"/>
  <cols>
    <col min="1" max="1" width="39" style="796" customWidth="1"/>
    <col min="2" max="2" width="22" style="203" customWidth="1"/>
    <col min="3" max="3" width="18.36328125" style="203" customWidth="1"/>
    <col min="4" max="4" width="20.36328125" style="203" customWidth="1"/>
    <col min="5" max="5" width="17.453125" style="796" customWidth="1"/>
    <col min="6" max="16384" width="8.90625" style="796"/>
  </cols>
  <sheetData>
    <row r="1" spans="1:5" s="792" customFormat="1" ht="21" x14ac:dyDescent="0.25">
      <c r="A1" s="824" t="s">
        <v>1308</v>
      </c>
      <c r="B1" s="824"/>
      <c r="C1" s="824"/>
      <c r="D1" s="825"/>
    </row>
    <row r="2" spans="1:5" ht="13.75" x14ac:dyDescent="0.25">
      <c r="A2" s="793" t="s">
        <v>1039</v>
      </c>
      <c r="B2" s="794" t="s">
        <v>384</v>
      </c>
      <c r="C2" s="794" t="s">
        <v>385</v>
      </c>
      <c r="D2" s="795" t="s">
        <v>161</v>
      </c>
    </row>
    <row r="3" spans="1:5" ht="27.65" x14ac:dyDescent="0.25">
      <c r="A3" s="797" t="s">
        <v>1306</v>
      </c>
      <c r="B3" s="200">
        <v>370663544.0000003</v>
      </c>
      <c r="C3" s="200">
        <v>664590380.52480006</v>
      </c>
      <c r="D3" s="200">
        <v>1035253924.5248003</v>
      </c>
    </row>
    <row r="4" spans="1:5" ht="13.75" x14ac:dyDescent="0.25">
      <c r="A4" s="798" t="s">
        <v>1041</v>
      </c>
      <c r="B4" s="200">
        <v>1253152618</v>
      </c>
      <c r="C4" s="200">
        <v>177902000</v>
      </c>
      <c r="D4" s="200">
        <v>1431054618</v>
      </c>
    </row>
    <row r="5" spans="1:5" ht="13.75" x14ac:dyDescent="0.25">
      <c r="A5" s="798" t="s">
        <v>1042</v>
      </c>
      <c r="B5" s="200">
        <v>3095396023.3277507</v>
      </c>
      <c r="C5" s="200">
        <v>73720159.150000006</v>
      </c>
      <c r="D5" s="200">
        <v>3169116182.4777508</v>
      </c>
      <c r="E5" s="796">
        <f>107400000</f>
        <v>107400000</v>
      </c>
    </row>
    <row r="6" spans="1:5" ht="13.75" x14ac:dyDescent="0.25">
      <c r="A6" s="798" t="s">
        <v>1043</v>
      </c>
      <c r="B6" s="200">
        <v>1169247400.9425831</v>
      </c>
      <c r="C6" s="200">
        <v>0</v>
      </c>
      <c r="D6" s="200">
        <v>1169247400.9425831</v>
      </c>
    </row>
    <row r="7" spans="1:5" ht="13.75" x14ac:dyDescent="0.25">
      <c r="A7" s="798" t="s">
        <v>310</v>
      </c>
      <c r="B7" s="200">
        <v>1248350.024</v>
      </c>
      <c r="C7" s="200">
        <v>8460702.8499999996</v>
      </c>
      <c r="D7" s="200">
        <v>9709052.8739999998</v>
      </c>
      <c r="E7" s="799" t="e">
        <f>#REF!-107400000</f>
        <v>#REF!</v>
      </c>
    </row>
    <row r="8" spans="1:5" ht="13.75" x14ac:dyDescent="0.25">
      <c r="A8" s="798" t="s">
        <v>1044</v>
      </c>
      <c r="B8" s="200">
        <v>121360700.00399999</v>
      </c>
      <c r="C8" s="200">
        <v>607545893</v>
      </c>
      <c r="D8" s="200">
        <v>728906593.00399995</v>
      </c>
    </row>
    <row r="9" spans="1:5" ht="13.75" x14ac:dyDescent="0.25">
      <c r="A9" s="798" t="s">
        <v>667</v>
      </c>
      <c r="B9" s="200">
        <v>44256323.519999996</v>
      </c>
      <c r="C9" s="200">
        <v>61417050.5</v>
      </c>
      <c r="D9" s="200">
        <v>105673374.02</v>
      </c>
    </row>
    <row r="10" spans="1:5" ht="13.75" x14ac:dyDescent="0.25">
      <c r="A10" s="798" t="s">
        <v>1045</v>
      </c>
      <c r="B10" s="200"/>
      <c r="C10" s="200">
        <v>30000000</v>
      </c>
      <c r="D10" s="200">
        <v>30000000</v>
      </c>
      <c r="E10" s="799" t="e">
        <f>E7+#REF!</f>
        <v>#REF!</v>
      </c>
    </row>
    <row r="11" spans="1:5" ht="13.75" x14ac:dyDescent="0.25">
      <c r="A11" s="798" t="s">
        <v>1046</v>
      </c>
      <c r="B11" s="200">
        <v>15456042.359999999</v>
      </c>
      <c r="C11" s="200">
        <v>60033313.950000003</v>
      </c>
      <c r="D11" s="200">
        <v>75489356.310000002</v>
      </c>
    </row>
    <row r="12" spans="1:5" ht="13.75" x14ac:dyDescent="0.25">
      <c r="A12" s="798" t="s">
        <v>700</v>
      </c>
      <c r="B12" s="200">
        <v>9406356</v>
      </c>
      <c r="C12" s="200">
        <v>90000000</v>
      </c>
      <c r="D12" s="200">
        <v>99406356</v>
      </c>
    </row>
    <row r="13" spans="1:5" ht="13.75" x14ac:dyDescent="0.25">
      <c r="A13" s="798" t="s">
        <v>386</v>
      </c>
      <c r="B13" s="200">
        <v>59903508</v>
      </c>
      <c r="C13" s="200">
        <v>7490043.0250000004</v>
      </c>
      <c r="D13" s="200">
        <v>67393551.025000006</v>
      </c>
      <c r="E13" s="800" t="e">
        <f>#REF!*2</f>
        <v>#REF!</v>
      </c>
    </row>
    <row r="14" spans="1:5" ht="13.75" x14ac:dyDescent="0.25">
      <c r="A14" s="798" t="s">
        <v>380</v>
      </c>
      <c r="B14" s="200">
        <v>38880587</v>
      </c>
      <c r="C14" s="200">
        <v>427299481</v>
      </c>
      <c r="D14" s="200">
        <v>466180068</v>
      </c>
    </row>
    <row r="15" spans="1:5" ht="13.75" x14ac:dyDescent="0.25">
      <c r="A15" s="798" t="s">
        <v>1047</v>
      </c>
      <c r="B15" s="200">
        <v>85439973</v>
      </c>
      <c r="C15" s="200">
        <v>66500000</v>
      </c>
      <c r="D15" s="200">
        <v>151939973</v>
      </c>
    </row>
    <row r="16" spans="1:5" ht="13.75" x14ac:dyDescent="0.25">
      <c r="A16" s="798" t="s">
        <v>1048</v>
      </c>
      <c r="B16" s="200">
        <v>71048217</v>
      </c>
      <c r="C16" s="200">
        <v>36611882</v>
      </c>
      <c r="D16" s="200">
        <v>107660099</v>
      </c>
    </row>
    <row r="17" spans="1:5" ht="13.75" x14ac:dyDescent="0.25">
      <c r="A17" s="798" t="s">
        <v>1049</v>
      </c>
      <c r="B17" s="200">
        <v>66256929.200000003</v>
      </c>
      <c r="C17" s="200">
        <v>572588665</v>
      </c>
      <c r="D17" s="200">
        <v>638845594.20000005</v>
      </c>
    </row>
    <row r="18" spans="1:5" ht="13.75" x14ac:dyDescent="0.25">
      <c r="A18" s="798" t="s">
        <v>1050</v>
      </c>
      <c r="B18" s="200">
        <v>76257997</v>
      </c>
      <c r="C18" s="200">
        <v>531789689.35000002</v>
      </c>
      <c r="D18" s="200">
        <v>608047686.35000002</v>
      </c>
    </row>
    <row r="19" spans="1:5" ht="13.75" x14ac:dyDescent="0.25">
      <c r="A19" s="798" t="s">
        <v>381</v>
      </c>
      <c r="B19" s="200">
        <v>67934783</v>
      </c>
      <c r="C19" s="200">
        <v>36164662.700000003</v>
      </c>
      <c r="D19" s="200">
        <v>104099445.7</v>
      </c>
      <c r="E19" s="796" t="s">
        <v>1192</v>
      </c>
    </row>
    <row r="20" spans="1:5" ht="13.75" x14ac:dyDescent="0.25">
      <c r="A20" s="798" t="s">
        <v>762</v>
      </c>
      <c r="B20" s="200"/>
      <c r="C20" s="200">
        <v>10000000</v>
      </c>
      <c r="D20" s="200">
        <v>10000000</v>
      </c>
    </row>
    <row r="21" spans="1:5" ht="13.75" x14ac:dyDescent="0.25">
      <c r="A21" s="798" t="s">
        <v>1051</v>
      </c>
      <c r="B21" s="200"/>
      <c r="C21" s="200">
        <v>10000000</v>
      </c>
      <c r="D21" s="200">
        <v>10000000</v>
      </c>
    </row>
    <row r="22" spans="1:5" ht="13.75" x14ac:dyDescent="0.25">
      <c r="A22" s="798" t="s">
        <v>1052</v>
      </c>
      <c r="B22" s="200">
        <v>23096013</v>
      </c>
      <c r="C22" s="200">
        <v>10817067.65</v>
      </c>
      <c r="D22" s="200">
        <v>33913080.649999999</v>
      </c>
    </row>
    <row r="23" spans="1:5" ht="13.75" x14ac:dyDescent="0.25">
      <c r="A23" s="798" t="s">
        <v>764</v>
      </c>
      <c r="B23" s="801"/>
      <c r="C23" s="200">
        <v>10000000</v>
      </c>
      <c r="D23" s="200">
        <v>10000000</v>
      </c>
    </row>
    <row r="24" spans="1:5" ht="13.75" x14ac:dyDescent="0.25">
      <c r="A24" s="798" t="s">
        <v>1053</v>
      </c>
      <c r="B24" s="200">
        <v>1137659735</v>
      </c>
      <c r="C24" s="200">
        <v>155718949.44999999</v>
      </c>
      <c r="D24" s="200">
        <v>1293378684.45</v>
      </c>
    </row>
    <row r="25" spans="1:5" ht="13.75" x14ac:dyDescent="0.25">
      <c r="A25" s="798" t="s">
        <v>1054</v>
      </c>
      <c r="B25" s="200">
        <v>893199731</v>
      </c>
      <c r="C25" s="200">
        <v>11191092.449999999</v>
      </c>
      <c r="D25" s="200">
        <v>904390823.45000005</v>
      </c>
    </row>
    <row r="26" spans="1:5" ht="13.75" x14ac:dyDescent="0.25">
      <c r="A26" s="798" t="s">
        <v>383</v>
      </c>
      <c r="B26" s="200">
        <v>12265905</v>
      </c>
      <c r="C26" s="200"/>
      <c r="D26" s="200">
        <v>12265905</v>
      </c>
    </row>
    <row r="27" spans="1:5" ht="13.75" x14ac:dyDescent="0.25">
      <c r="A27" s="798" t="s">
        <v>1055</v>
      </c>
      <c r="B27" s="200">
        <v>81900848</v>
      </c>
      <c r="C27" s="200"/>
      <c r="D27" s="200">
        <v>81900848</v>
      </c>
    </row>
    <row r="28" spans="1:5" x14ac:dyDescent="0.3">
      <c r="A28" s="798" t="s">
        <v>1056</v>
      </c>
      <c r="B28" s="200">
        <v>480368819</v>
      </c>
      <c r="C28" s="200"/>
      <c r="D28" s="200">
        <v>480368819</v>
      </c>
    </row>
    <row r="29" spans="1:5" x14ac:dyDescent="0.3">
      <c r="A29" s="798" t="s">
        <v>1057</v>
      </c>
      <c r="B29" s="200">
        <v>38642390</v>
      </c>
      <c r="C29" s="200"/>
      <c r="D29" s="200">
        <v>38642390</v>
      </c>
    </row>
    <row r="30" spans="1:5" ht="13.75" x14ac:dyDescent="0.25">
      <c r="A30" s="798" t="s">
        <v>545</v>
      </c>
      <c r="B30" s="200">
        <v>46910124</v>
      </c>
      <c r="C30" s="200">
        <v>16018306.4</v>
      </c>
      <c r="D30" s="200">
        <v>62928430.399999999</v>
      </c>
    </row>
    <row r="31" spans="1:5" ht="13.75" x14ac:dyDescent="0.25">
      <c r="A31" s="798" t="s">
        <v>382</v>
      </c>
      <c r="B31" s="200">
        <v>1073147000</v>
      </c>
      <c r="C31" s="200">
        <v>190000000</v>
      </c>
      <c r="D31" s="200">
        <v>1263147000</v>
      </c>
    </row>
    <row r="32" spans="1:5" ht="13.75" x14ac:dyDescent="0.25">
      <c r="A32" s="798" t="s">
        <v>94</v>
      </c>
      <c r="B32" s="801">
        <v>0</v>
      </c>
      <c r="C32" s="200">
        <v>1025999999.544</v>
      </c>
      <c r="D32" s="200">
        <v>1025999999.544</v>
      </c>
    </row>
    <row r="33" spans="1:4" s="792" customFormat="1" ht="13.75" x14ac:dyDescent="0.25">
      <c r="A33" s="793" t="s">
        <v>1058</v>
      </c>
      <c r="B33" s="202">
        <v>10333099917.378334</v>
      </c>
      <c r="C33" s="202">
        <v>4891859338.5437994</v>
      </c>
      <c r="D33" s="202">
        <v>15224959255.922138</v>
      </c>
    </row>
    <row r="36" spans="1:4" ht="13.75" x14ac:dyDescent="0.25">
      <c r="D36" s="203">
        <v>15224959256.070005</v>
      </c>
    </row>
    <row r="37" spans="1:4" ht="13.75" x14ac:dyDescent="0.25">
      <c r="A37" s="802"/>
    </row>
    <row r="38" spans="1:4" ht="13.75" x14ac:dyDescent="0.25">
      <c r="D38" s="203">
        <v>0.14786720275878906</v>
      </c>
    </row>
    <row r="42" spans="1:4" ht="13.75" x14ac:dyDescent="0.25">
      <c r="C42" s="203">
        <v>10000000</v>
      </c>
    </row>
    <row r="48" spans="1:4" ht="13.75" x14ac:dyDescent="0.25">
      <c r="C48" s="203" t="s">
        <v>338</v>
      </c>
    </row>
  </sheetData>
  <mergeCells count="1">
    <mergeCell ref="A1:D1"/>
  </mergeCells>
  <pageMargins left="0.7" right="0.7" top="0.75" bottom="0.75" header="0.3" footer="0.3"/>
  <pageSetup paperSize="9" scale="87" orientation="portrait" r:id="rId1"/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3"/>
  <sheetViews>
    <sheetView topLeftCell="A31" workbookViewId="0">
      <selection activeCell="C25" sqref="C25"/>
    </sheetView>
  </sheetViews>
  <sheetFormatPr defaultColWidth="26.453125" defaultRowHeight="15.5" x14ac:dyDescent="0.35"/>
  <cols>
    <col min="1" max="1" width="43.1796875" style="6" customWidth="1"/>
    <col min="2" max="16384" width="26.453125" style="6"/>
  </cols>
  <sheetData>
    <row r="2" spans="1:4" ht="15.65" x14ac:dyDescent="0.3">
      <c r="A2" s="27" t="str">
        <f>Classification!A2</f>
        <v>DEPARTMENT</v>
      </c>
      <c r="B2" s="748" t="s">
        <v>1231</v>
      </c>
    </row>
    <row r="3" spans="1:4" ht="15.65" x14ac:dyDescent="0.3">
      <c r="A3" s="26" t="str">
        <f>Classification!A3</f>
        <v>Agriculture and Irrigation</v>
      </c>
      <c r="B3" s="748">
        <v>7712499.9749999996</v>
      </c>
    </row>
    <row r="4" spans="1:4" ht="15.65" x14ac:dyDescent="0.3">
      <c r="A4" s="26" t="s">
        <v>1281</v>
      </c>
      <c r="B4" s="411">
        <v>5000000</v>
      </c>
    </row>
    <row r="5" spans="1:4" ht="15.65" x14ac:dyDescent="0.3">
      <c r="A5" s="26" t="s">
        <v>1280</v>
      </c>
      <c r="B5" s="411">
        <v>2712499.9750000006</v>
      </c>
    </row>
    <row r="6" spans="1:4" ht="15.65" x14ac:dyDescent="0.3">
      <c r="A6" s="26" t="str">
        <f>Classification!A4</f>
        <v>Education and Vocational Training Centres</v>
      </c>
      <c r="B6" s="748">
        <v>2258000</v>
      </c>
    </row>
    <row r="7" spans="1:4" ht="15.65" x14ac:dyDescent="0.3">
      <c r="A7" s="26" t="s">
        <v>152</v>
      </c>
      <c r="B7" s="411">
        <v>2258000</v>
      </c>
    </row>
    <row r="8" spans="1:4" ht="15.65" x14ac:dyDescent="0.3">
      <c r="A8" s="27" t="str">
        <f>Classification!A5</f>
        <v>Health</v>
      </c>
      <c r="B8" s="748">
        <v>3195797.85</v>
      </c>
    </row>
    <row r="9" spans="1:4" ht="15.65" x14ac:dyDescent="0.3">
      <c r="A9" s="26" t="s">
        <v>1282</v>
      </c>
      <c r="B9" s="411">
        <v>3195797.85</v>
      </c>
    </row>
    <row r="10" spans="1:4" ht="15.65" x14ac:dyDescent="0.3">
      <c r="A10" s="26" t="str">
        <f>Classification!A7</f>
        <v>Sanitation</v>
      </c>
      <c r="B10" s="748">
        <v>445300.15</v>
      </c>
      <c r="D10" s="6" t="s">
        <v>778</v>
      </c>
    </row>
    <row r="11" spans="1:4" ht="15.65" x14ac:dyDescent="0.3">
      <c r="A11" s="26" t="s">
        <v>1283</v>
      </c>
      <c r="B11" s="411">
        <v>445300.15</v>
      </c>
    </row>
    <row r="12" spans="1:4" ht="15.65" x14ac:dyDescent="0.3">
      <c r="A12" s="26" t="str">
        <f>Classification!A8</f>
        <v>Roads and Public Works</v>
      </c>
      <c r="B12" s="748">
        <v>15500000</v>
      </c>
    </row>
    <row r="13" spans="1:4" ht="15.65" x14ac:dyDescent="0.3">
      <c r="A13" s="26" t="s">
        <v>1284</v>
      </c>
      <c r="B13" s="411">
        <v>15500000</v>
      </c>
    </row>
    <row r="14" spans="1:4" ht="15.65" x14ac:dyDescent="0.3">
      <c r="A14" s="26" t="str">
        <f>Classification!A9</f>
        <v>Trade</v>
      </c>
      <c r="B14" s="748">
        <v>2500000.0249999999</v>
      </c>
    </row>
    <row r="15" spans="1:4" ht="15.65" x14ac:dyDescent="0.3">
      <c r="A15" s="26" t="s">
        <v>1285</v>
      </c>
      <c r="B15" s="411">
        <v>2500000</v>
      </c>
    </row>
    <row r="16" spans="1:4" ht="15.65" x14ac:dyDescent="0.3">
      <c r="A16" s="26" t="str">
        <f>Classification!A11</f>
        <v>Energy</v>
      </c>
      <c r="B16" s="748">
        <v>791227.05</v>
      </c>
    </row>
    <row r="17" spans="1:3" ht="15.65" x14ac:dyDescent="0.3">
      <c r="A17" s="26" t="s">
        <v>1286</v>
      </c>
      <c r="B17" s="411">
        <v>791227.05</v>
      </c>
    </row>
    <row r="18" spans="1:3" ht="15.65" x14ac:dyDescent="0.3">
      <c r="A18" s="26" t="str">
        <f>Classification!A13</f>
        <v>Lands, Urban and Physical Planning</v>
      </c>
      <c r="B18" s="748">
        <v>329959.47500000003</v>
      </c>
    </row>
    <row r="19" spans="1:3" ht="15.65" x14ac:dyDescent="0.3">
      <c r="A19" s="26" t="s">
        <v>1288</v>
      </c>
      <c r="B19" s="411">
        <v>329959.47499999998</v>
      </c>
    </row>
    <row r="20" spans="1:3" ht="15.65" x14ac:dyDescent="0.3">
      <c r="A20" s="26" t="str">
        <f>Classification!A14</f>
        <v>Housing</v>
      </c>
      <c r="B20" s="748">
        <v>6310489</v>
      </c>
    </row>
    <row r="21" spans="1:3" ht="15.65" x14ac:dyDescent="0.3">
      <c r="A21" s="26" t="s">
        <v>1287</v>
      </c>
      <c r="B21" s="411">
        <v>6310489</v>
      </c>
    </row>
    <row r="22" spans="1:3" ht="15.65" x14ac:dyDescent="0.3">
      <c r="A22" s="26" t="str">
        <f>Classification!A15</f>
        <v>Bungoma Municipality</v>
      </c>
      <c r="B22" s="748">
        <v>3500000</v>
      </c>
    </row>
    <row r="23" spans="1:3" ht="15.65" x14ac:dyDescent="0.3">
      <c r="A23" s="26" t="s">
        <v>1291</v>
      </c>
      <c r="B23" s="411">
        <v>3500000</v>
      </c>
    </row>
    <row r="24" spans="1:3" ht="15.65" x14ac:dyDescent="0.3">
      <c r="A24" s="26" t="str">
        <f>Classification!A16</f>
        <v>Kimilili Municipality</v>
      </c>
      <c r="B24" s="411">
        <v>1926941.1500000001</v>
      </c>
      <c r="C24" s="788">
        <v>10538823</v>
      </c>
    </row>
    <row r="25" spans="1:3" ht="15.65" x14ac:dyDescent="0.3">
      <c r="A25" s="26" t="s">
        <v>1292</v>
      </c>
      <c r="B25" s="748">
        <v>1926941.1500000001</v>
      </c>
      <c r="C25" s="789">
        <f>C24-B24</f>
        <v>8611881.8499999996</v>
      </c>
    </row>
    <row r="26" spans="1:3" ht="15.65" x14ac:dyDescent="0.3">
      <c r="A26" s="26" t="str">
        <f>Classification!A17</f>
        <v xml:space="preserve">Tourism and Environment </v>
      </c>
      <c r="B26" s="411">
        <v>0</v>
      </c>
    </row>
    <row r="27" spans="1:3" ht="15.65" x14ac:dyDescent="0.3">
      <c r="A27" s="26" t="str">
        <f>Classification!A18</f>
        <v>Water and Natural Resources</v>
      </c>
      <c r="B27" s="411">
        <v>1109875.6499999999</v>
      </c>
    </row>
    <row r="28" spans="1:3" ht="46.75" x14ac:dyDescent="0.3">
      <c r="A28" s="278" t="s">
        <v>173</v>
      </c>
      <c r="B28" s="411">
        <v>1109875.6499999999</v>
      </c>
    </row>
    <row r="29" spans="1:3" ht="15.65" x14ac:dyDescent="0.3">
      <c r="A29" s="26" t="str">
        <f>Classification!A19</f>
        <v>Gender, Culture</v>
      </c>
      <c r="B29" s="411">
        <v>924737.3</v>
      </c>
    </row>
    <row r="30" spans="1:3" ht="15.65" x14ac:dyDescent="0.3">
      <c r="A30" s="26" t="str">
        <f>Classification!A20</f>
        <v>Women Fund</v>
      </c>
      <c r="B30" s="411">
        <v>0</v>
      </c>
    </row>
    <row r="31" spans="1:3" ht="15.65" x14ac:dyDescent="0.3">
      <c r="A31" s="26" t="str">
        <f>Classification!A21</f>
        <v>Disability Fund</v>
      </c>
      <c r="B31" s="411">
        <v>0</v>
      </c>
    </row>
    <row r="32" spans="1:3" ht="15.65" x14ac:dyDescent="0.3">
      <c r="A32" s="26" t="str">
        <f>Classification!A22</f>
        <v>Youth and Sports</v>
      </c>
      <c r="B32" s="748">
        <v>569319.35</v>
      </c>
    </row>
    <row r="33" spans="1:2" ht="15.65" x14ac:dyDescent="0.3">
      <c r="A33" s="585" t="s">
        <v>526</v>
      </c>
      <c r="B33" s="411">
        <v>569319.35</v>
      </c>
    </row>
    <row r="34" spans="1:2" ht="15.65" x14ac:dyDescent="0.3">
      <c r="A34" s="26" t="str">
        <f>Classification!A24</f>
        <v>Finance and Economic Planning</v>
      </c>
      <c r="B34" s="748">
        <v>3062005.55</v>
      </c>
    </row>
    <row r="35" spans="1:2" ht="15.65" x14ac:dyDescent="0.3">
      <c r="A35" s="311" t="s">
        <v>1106</v>
      </c>
      <c r="B35" s="411">
        <v>3062005.55</v>
      </c>
    </row>
    <row r="36" spans="1:2" ht="15.65" x14ac:dyDescent="0.3">
      <c r="A36" s="26" t="str">
        <f>Classification!A25</f>
        <v xml:space="preserve">Public Service Management and Administration </v>
      </c>
      <c r="B36" s="748">
        <v>558313.55000000005</v>
      </c>
    </row>
    <row r="37" spans="1:2" ht="15.65" x14ac:dyDescent="0.3">
      <c r="A37" s="65" t="s">
        <v>408</v>
      </c>
      <c r="B37" s="411">
        <v>558313.55000000005</v>
      </c>
    </row>
    <row r="38" spans="1:2" ht="15.65" x14ac:dyDescent="0.3">
      <c r="A38" s="26" t="str">
        <f>Classification!A30</f>
        <v>County Public Service Board</v>
      </c>
      <c r="B38" s="411">
        <v>1071651.6000000001</v>
      </c>
    </row>
    <row r="39" spans="1:2" ht="15.65" x14ac:dyDescent="0.3">
      <c r="A39" s="26" t="s">
        <v>1287</v>
      </c>
      <c r="B39" s="748">
        <v>1071651.6000000001</v>
      </c>
    </row>
    <row r="40" spans="1:2" ht="15.65" x14ac:dyDescent="0.3">
      <c r="A40" s="26" t="str">
        <f>Classification!A31</f>
        <v>County Assembly</v>
      </c>
      <c r="B40" s="411">
        <v>4343073.0999999996</v>
      </c>
    </row>
    <row r="41" spans="1:2" ht="15.65" x14ac:dyDescent="0.3">
      <c r="A41" s="26"/>
      <c r="B41" s="411"/>
    </row>
    <row r="42" spans="1:2" ht="15.65" x14ac:dyDescent="0.3">
      <c r="A42" s="26" t="str">
        <f>Classification!A32</f>
        <v>Ward Based Projects</v>
      </c>
      <c r="B42" s="411">
        <v>53999999.976000004</v>
      </c>
    </row>
    <row r="43" spans="1:2" ht="15.65" x14ac:dyDescent="0.3">
      <c r="A43" s="26" t="str">
        <f>Classification!A33</f>
        <v xml:space="preserve">Grand Total </v>
      </c>
      <c r="B43" s="411">
        <v>110109190.751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9"/>
  <sheetViews>
    <sheetView view="pageBreakPreview" zoomScale="60" zoomScaleNormal="140" workbookViewId="0">
      <selection activeCell="K15" sqref="K15"/>
    </sheetView>
  </sheetViews>
  <sheetFormatPr defaultColWidth="9.08984375" defaultRowHeight="15.5" x14ac:dyDescent="0.35"/>
  <cols>
    <col min="1" max="1" width="9.08984375" style="6"/>
    <col min="2" max="2" width="42.36328125" style="6" customWidth="1"/>
    <col min="3" max="3" width="19" style="144" customWidth="1"/>
    <col min="4" max="5" width="17.6328125" style="144" customWidth="1"/>
    <col min="6" max="6" width="18.6328125" style="8" customWidth="1"/>
    <col min="7" max="7" width="19" style="8" customWidth="1"/>
    <col min="8" max="8" width="19.6328125" style="6" customWidth="1"/>
    <col min="9" max="9" width="18.453125" style="6" customWidth="1"/>
    <col min="10" max="10" width="17.36328125" style="6" customWidth="1"/>
    <col min="11" max="11" width="25" style="141" customWidth="1"/>
    <col min="12" max="12" width="21" style="6" customWidth="1"/>
    <col min="13" max="13" width="15.54296875" style="6" customWidth="1"/>
    <col min="14" max="14" width="22.6328125" style="6" customWidth="1"/>
    <col min="15" max="15" width="12.54296875" style="6" bestFit="1" customWidth="1"/>
    <col min="16" max="16384" width="9.08984375" style="6"/>
  </cols>
  <sheetData>
    <row r="1" spans="1:9" ht="15.65" x14ac:dyDescent="0.3">
      <c r="A1" s="244"/>
      <c r="B1" s="756" t="s">
        <v>337</v>
      </c>
      <c r="C1" s="757"/>
      <c r="D1" s="757"/>
      <c r="E1" s="757"/>
      <c r="F1" s="757"/>
      <c r="G1" s="757"/>
      <c r="H1" s="11"/>
    </row>
    <row r="2" spans="1:9" ht="15.65" x14ac:dyDescent="0.3">
      <c r="A2" s="244"/>
      <c r="B2" s="758" t="s">
        <v>1303</v>
      </c>
      <c r="C2" s="759"/>
      <c r="D2" s="759"/>
      <c r="E2" s="759"/>
      <c r="F2" s="759"/>
      <c r="G2" s="759"/>
      <c r="H2" s="11"/>
    </row>
    <row r="3" spans="1:9" ht="15.65" x14ac:dyDescent="0.3">
      <c r="A3" s="760"/>
      <c r="B3" s="761" t="s">
        <v>339</v>
      </c>
      <c r="C3" s="762"/>
      <c r="D3" s="762"/>
      <c r="E3" s="762"/>
      <c r="F3" s="762"/>
      <c r="G3" s="762"/>
      <c r="H3" s="11"/>
    </row>
    <row r="4" spans="1:9" ht="62.4" x14ac:dyDescent="0.3">
      <c r="A4" s="760" t="s">
        <v>340</v>
      </c>
      <c r="B4" s="761" t="s">
        <v>341</v>
      </c>
      <c r="C4" s="763" t="s">
        <v>1127</v>
      </c>
      <c r="D4" s="763" t="s">
        <v>1128</v>
      </c>
      <c r="E4" s="763" t="s">
        <v>669</v>
      </c>
      <c r="F4" s="763" t="s">
        <v>670</v>
      </c>
      <c r="G4" s="763" t="s">
        <v>677</v>
      </c>
      <c r="H4" s="11"/>
    </row>
    <row r="5" spans="1:9" ht="15.65" x14ac:dyDescent="0.3">
      <c r="A5" s="244">
        <v>1</v>
      </c>
      <c r="B5" s="241" t="s">
        <v>342</v>
      </c>
      <c r="C5" s="764">
        <v>0</v>
      </c>
      <c r="D5" s="764">
        <v>275350297</v>
      </c>
      <c r="E5" s="764"/>
      <c r="F5" s="765"/>
      <c r="G5" s="765"/>
      <c r="H5" s="11"/>
      <c r="I5" s="6" t="s">
        <v>1309</v>
      </c>
    </row>
    <row r="6" spans="1:9" ht="15.65" x14ac:dyDescent="0.3">
      <c r="A6" s="241"/>
      <c r="B6" s="241" t="s">
        <v>343</v>
      </c>
      <c r="C6" s="764">
        <v>0</v>
      </c>
      <c r="D6" s="764">
        <v>0</v>
      </c>
      <c r="E6" s="764"/>
      <c r="F6" s="765"/>
      <c r="G6" s="765"/>
    </row>
    <row r="7" spans="1:9" ht="15.65" x14ac:dyDescent="0.3">
      <c r="A7" s="89"/>
      <c r="B7" s="146" t="s">
        <v>678</v>
      </c>
      <c r="C7" s="766"/>
      <c r="D7" s="764">
        <v>150000000</v>
      </c>
      <c r="E7" s="764"/>
      <c r="F7" s="766"/>
      <c r="G7" s="766"/>
      <c r="H7" s="11"/>
    </row>
    <row r="8" spans="1:9" ht="15.65" x14ac:dyDescent="0.3">
      <c r="A8" s="244">
        <v>2</v>
      </c>
      <c r="B8" s="241" t="s">
        <v>344</v>
      </c>
      <c r="C8" s="767">
        <v>11111983608</v>
      </c>
      <c r="D8" s="764">
        <v>11111983608</v>
      </c>
      <c r="E8" s="764">
        <v>11278987461</v>
      </c>
      <c r="F8" s="765">
        <f>1.05*D8</f>
        <v>11667582788.4</v>
      </c>
      <c r="G8" s="765">
        <f t="shared" ref="G8" si="0">1.05*F8</f>
        <v>12250961927.82</v>
      </c>
      <c r="H8" s="11"/>
    </row>
    <row r="9" spans="1:9" ht="15.65" x14ac:dyDescent="0.3">
      <c r="A9" s="244">
        <v>3</v>
      </c>
      <c r="B9" s="241" t="s">
        <v>345</v>
      </c>
      <c r="C9" s="764">
        <f t="shared" ref="C9:G9" si="1">SUM(C10:C21)</f>
        <v>255000000</v>
      </c>
      <c r="D9" s="764">
        <f t="shared" si="1"/>
        <v>841890864</v>
      </c>
      <c r="E9" s="764">
        <f>SUM(E10:E21)</f>
        <v>487904999</v>
      </c>
      <c r="F9" s="764">
        <f t="shared" si="1"/>
        <v>841890864</v>
      </c>
      <c r="G9" s="764">
        <f t="shared" si="1"/>
        <v>841890864</v>
      </c>
      <c r="H9" s="11"/>
    </row>
    <row r="10" spans="1:9" ht="31.25" x14ac:dyDescent="0.3">
      <c r="A10" s="244"/>
      <c r="B10" s="768" t="s">
        <v>1129</v>
      </c>
      <c r="C10" s="769">
        <v>0</v>
      </c>
      <c r="D10" s="764">
        <v>137839232</v>
      </c>
      <c r="E10" s="764">
        <v>0</v>
      </c>
      <c r="F10" s="769">
        <f>D10</f>
        <v>137839232</v>
      </c>
      <c r="G10" s="769">
        <f t="shared" ref="G10" si="2">F10</f>
        <v>137839232</v>
      </c>
      <c r="H10" s="11"/>
    </row>
    <row r="11" spans="1:9" ht="15.65" x14ac:dyDescent="0.3">
      <c r="A11" s="244"/>
      <c r="B11" s="244" t="s">
        <v>1148</v>
      </c>
      <c r="C11" s="769">
        <v>110000000</v>
      </c>
      <c r="D11" s="769">
        <v>124723404</v>
      </c>
      <c r="E11" s="769"/>
      <c r="F11" s="769">
        <f>D11</f>
        <v>124723404</v>
      </c>
      <c r="G11" s="769">
        <f t="shared" ref="G11:G21" si="3">F11</f>
        <v>124723404</v>
      </c>
      <c r="H11" s="11"/>
    </row>
    <row r="12" spans="1:9" ht="15.65" x14ac:dyDescent="0.3">
      <c r="A12" s="244"/>
      <c r="B12" s="65" t="s">
        <v>1145</v>
      </c>
      <c r="C12" s="769"/>
      <c r="D12" s="769"/>
      <c r="E12" s="769">
        <v>105600000</v>
      </c>
      <c r="F12" s="769"/>
      <c r="G12" s="769"/>
      <c r="H12" s="11"/>
    </row>
    <row r="13" spans="1:9" ht="15.65" x14ac:dyDescent="0.3">
      <c r="A13" s="244"/>
      <c r="B13" s="65" t="s">
        <v>1146</v>
      </c>
      <c r="C13" s="769"/>
      <c r="D13" s="769"/>
      <c r="E13" s="769">
        <v>7400000</v>
      </c>
      <c r="F13" s="769"/>
      <c r="G13" s="769"/>
      <c r="H13" s="11"/>
    </row>
    <row r="14" spans="1:9" ht="15.65" x14ac:dyDescent="0.3">
      <c r="A14" s="244"/>
      <c r="B14" s="65" t="s">
        <v>1147</v>
      </c>
      <c r="C14" s="769"/>
      <c r="D14" s="769"/>
      <c r="E14" s="769">
        <v>107400000</v>
      </c>
      <c r="F14" s="769"/>
      <c r="G14" s="769"/>
      <c r="H14" s="11"/>
    </row>
    <row r="15" spans="1:9" ht="15.65" x14ac:dyDescent="0.3">
      <c r="A15" s="244"/>
      <c r="B15" s="770" t="s">
        <v>1302</v>
      </c>
      <c r="C15" s="769">
        <v>100000000</v>
      </c>
      <c r="D15" s="769">
        <v>250000000</v>
      </c>
      <c r="E15" s="769">
        <v>0</v>
      </c>
      <c r="F15" s="769">
        <f t="shared" ref="F15:F21" si="4">D15</f>
        <v>250000000</v>
      </c>
      <c r="G15" s="769">
        <f t="shared" si="3"/>
        <v>250000000</v>
      </c>
      <c r="H15" s="11"/>
    </row>
    <row r="16" spans="1:9" ht="31.25" x14ac:dyDescent="0.3">
      <c r="A16" s="244"/>
      <c r="B16" s="771" t="s">
        <v>1130</v>
      </c>
      <c r="C16" s="769">
        <v>45000000</v>
      </c>
      <c r="D16" s="769">
        <v>45000000</v>
      </c>
      <c r="E16" s="769">
        <v>45000000</v>
      </c>
      <c r="F16" s="769">
        <f t="shared" si="4"/>
        <v>45000000</v>
      </c>
      <c r="G16" s="769">
        <f t="shared" si="3"/>
        <v>45000000</v>
      </c>
      <c r="H16" s="11"/>
    </row>
    <row r="17" spans="1:8" ht="15.65" x14ac:dyDescent="0.3">
      <c r="A17" s="244"/>
      <c r="B17" s="244" t="s">
        <v>1294</v>
      </c>
      <c r="C17" s="769">
        <v>0</v>
      </c>
      <c r="D17" s="764">
        <v>0</v>
      </c>
      <c r="E17" s="764"/>
      <c r="F17" s="769">
        <f t="shared" si="4"/>
        <v>0</v>
      </c>
      <c r="G17" s="769">
        <f t="shared" si="3"/>
        <v>0</v>
      </c>
      <c r="H17" s="11"/>
    </row>
    <row r="18" spans="1:8" ht="15.65" x14ac:dyDescent="0.3">
      <c r="A18" s="244"/>
      <c r="B18" s="244" t="s">
        <v>1295</v>
      </c>
      <c r="C18" s="769"/>
      <c r="D18" s="769">
        <v>242962800</v>
      </c>
      <c r="E18" s="769">
        <v>0</v>
      </c>
      <c r="F18" s="769">
        <f t="shared" si="4"/>
        <v>242962800</v>
      </c>
      <c r="G18" s="769">
        <f t="shared" si="3"/>
        <v>242962800</v>
      </c>
      <c r="H18" s="11"/>
    </row>
    <row r="19" spans="1:8" ht="31.25" x14ac:dyDescent="0.3">
      <c r="A19" s="244"/>
      <c r="B19" s="768" t="s">
        <v>1135</v>
      </c>
      <c r="C19" s="772"/>
      <c r="D19" s="769">
        <v>34500000</v>
      </c>
      <c r="E19" s="769">
        <v>37950000</v>
      </c>
      <c r="F19" s="769">
        <f t="shared" si="4"/>
        <v>34500000</v>
      </c>
      <c r="G19" s="769">
        <f t="shared" si="3"/>
        <v>34500000</v>
      </c>
      <c r="H19" s="11"/>
    </row>
    <row r="20" spans="1:8" ht="15.65" x14ac:dyDescent="0.3">
      <c r="A20" s="244"/>
      <c r="B20" s="244" t="s">
        <v>1131</v>
      </c>
      <c r="C20" s="769"/>
      <c r="D20" s="769">
        <v>6865428</v>
      </c>
      <c r="E20" s="769">
        <v>0</v>
      </c>
      <c r="F20" s="769">
        <f t="shared" si="4"/>
        <v>6865428</v>
      </c>
      <c r="G20" s="769">
        <f t="shared" si="3"/>
        <v>6865428</v>
      </c>
      <c r="H20" s="11"/>
    </row>
    <row r="21" spans="1:8" ht="15.65" x14ac:dyDescent="0.3">
      <c r="A21" s="244"/>
      <c r="B21" s="244" t="s">
        <v>1296</v>
      </c>
      <c r="C21" s="769"/>
      <c r="D21" s="764">
        <v>0</v>
      </c>
      <c r="E21" s="769">
        <v>184554999</v>
      </c>
      <c r="F21" s="769">
        <f t="shared" si="4"/>
        <v>0</v>
      </c>
      <c r="G21" s="769">
        <f t="shared" si="3"/>
        <v>0</v>
      </c>
      <c r="H21" s="11"/>
    </row>
    <row r="22" spans="1:8" ht="15.65" x14ac:dyDescent="0.3">
      <c r="A22" s="244">
        <v>4</v>
      </c>
      <c r="B22" s="241" t="s">
        <v>346</v>
      </c>
      <c r="C22" s="764">
        <f t="shared" ref="C22:G22" si="5">SUM(C23:C36)</f>
        <v>463050812</v>
      </c>
      <c r="D22" s="764">
        <f t="shared" si="5"/>
        <v>911789771</v>
      </c>
      <c r="E22" s="764">
        <f t="shared" si="5"/>
        <v>1201173980</v>
      </c>
      <c r="F22" s="764">
        <f t="shared" si="5"/>
        <v>1201173980</v>
      </c>
      <c r="G22" s="764">
        <f t="shared" si="5"/>
        <v>701173980</v>
      </c>
      <c r="H22" s="11"/>
    </row>
    <row r="23" spans="1:8" ht="15.65" x14ac:dyDescent="0.3">
      <c r="A23" s="244"/>
      <c r="B23" s="244" t="s">
        <v>1297</v>
      </c>
      <c r="C23" s="769">
        <v>1571000</v>
      </c>
      <c r="D23" s="769">
        <v>1571000</v>
      </c>
      <c r="E23" s="769">
        <v>1571000</v>
      </c>
      <c r="F23" s="769">
        <f>D23</f>
        <v>1571000</v>
      </c>
      <c r="G23" s="769">
        <f t="shared" ref="G23" si="6">F23</f>
        <v>1571000</v>
      </c>
      <c r="H23" s="11"/>
    </row>
    <row r="24" spans="1:8" ht="31.25" x14ac:dyDescent="0.3">
      <c r="A24" s="244"/>
      <c r="B24" s="768" t="s">
        <v>1132</v>
      </c>
      <c r="C24" s="769">
        <v>28605056</v>
      </c>
      <c r="D24" s="769">
        <v>44837065</v>
      </c>
      <c r="E24" s="769">
        <v>13698750</v>
      </c>
      <c r="F24" s="769">
        <f>E24</f>
        <v>13698750</v>
      </c>
      <c r="G24" s="769">
        <f t="shared" ref="G24:G35" si="7">F24</f>
        <v>13698750</v>
      </c>
      <c r="H24" s="11"/>
    </row>
    <row r="25" spans="1:8" ht="15.65" x14ac:dyDescent="0.3">
      <c r="A25" s="244"/>
      <c r="B25" s="244" t="s">
        <v>1133</v>
      </c>
      <c r="C25" s="769">
        <v>0</v>
      </c>
      <c r="D25" s="769">
        <v>0</v>
      </c>
      <c r="E25" s="769"/>
      <c r="F25" s="769">
        <f t="shared" ref="F25:F36" si="8">E25</f>
        <v>0</v>
      </c>
      <c r="G25" s="769">
        <f t="shared" si="7"/>
        <v>0</v>
      </c>
      <c r="H25" s="11"/>
    </row>
    <row r="26" spans="1:8" ht="31.25" x14ac:dyDescent="0.3">
      <c r="A26" s="244"/>
      <c r="B26" s="768" t="s">
        <v>1298</v>
      </c>
      <c r="C26" s="772">
        <v>280530114</v>
      </c>
      <c r="D26" s="769">
        <v>211681141</v>
      </c>
      <c r="E26" s="769"/>
      <c r="F26" s="769">
        <f t="shared" si="8"/>
        <v>0</v>
      </c>
      <c r="G26" s="769">
        <f t="shared" si="7"/>
        <v>0</v>
      </c>
      <c r="H26" s="11"/>
    </row>
    <row r="27" spans="1:8" ht="31.25" x14ac:dyDescent="0.3">
      <c r="A27" s="244"/>
      <c r="B27" s="768" t="s">
        <v>1134</v>
      </c>
      <c r="C27" s="772"/>
      <c r="D27" s="769">
        <v>250000000</v>
      </c>
      <c r="E27" s="769">
        <v>151515152</v>
      </c>
      <c r="F27" s="769">
        <f t="shared" si="8"/>
        <v>151515152</v>
      </c>
      <c r="G27" s="769">
        <f t="shared" si="7"/>
        <v>151515152</v>
      </c>
      <c r="H27" s="11"/>
    </row>
    <row r="28" spans="1:8" ht="46.75" x14ac:dyDescent="0.3">
      <c r="A28" s="244"/>
      <c r="B28" s="768" t="s">
        <v>1136</v>
      </c>
      <c r="C28" s="772">
        <v>5344642</v>
      </c>
      <c r="D28" s="769">
        <v>5144293</v>
      </c>
      <c r="E28" s="769"/>
      <c r="F28" s="769">
        <f t="shared" si="8"/>
        <v>0</v>
      </c>
      <c r="G28" s="769">
        <f t="shared" si="7"/>
        <v>0</v>
      </c>
      <c r="H28" s="11"/>
    </row>
    <row r="29" spans="1:8" ht="31.25" x14ac:dyDescent="0.3">
      <c r="A29" s="244"/>
      <c r="B29" s="768" t="s">
        <v>1299</v>
      </c>
      <c r="C29" s="769">
        <v>0</v>
      </c>
      <c r="D29" s="769">
        <v>0</v>
      </c>
      <c r="E29" s="769">
        <v>37500000</v>
      </c>
      <c r="F29" s="769">
        <f t="shared" si="8"/>
        <v>37500000</v>
      </c>
      <c r="G29" s="769">
        <f t="shared" si="7"/>
        <v>37500000</v>
      </c>
      <c r="H29" s="11"/>
    </row>
    <row r="30" spans="1:8" ht="31.25" x14ac:dyDescent="0.3">
      <c r="A30" s="244"/>
      <c r="B30" s="768" t="s">
        <v>347</v>
      </c>
      <c r="C30" s="769">
        <v>0</v>
      </c>
      <c r="D30" s="769">
        <v>12792823</v>
      </c>
      <c r="E30" s="769"/>
      <c r="F30" s="769">
        <f t="shared" si="8"/>
        <v>0</v>
      </c>
      <c r="G30" s="769">
        <f t="shared" si="7"/>
        <v>0</v>
      </c>
      <c r="H30" s="11"/>
    </row>
    <row r="31" spans="1:8" ht="31.25" x14ac:dyDescent="0.3">
      <c r="A31" s="244"/>
      <c r="B31" s="768" t="s">
        <v>1300</v>
      </c>
      <c r="C31" s="769">
        <v>0</v>
      </c>
      <c r="D31" s="769">
        <v>133767487</v>
      </c>
      <c r="E31" s="769">
        <v>0</v>
      </c>
      <c r="F31" s="769">
        <f t="shared" si="8"/>
        <v>0</v>
      </c>
      <c r="G31" s="769">
        <f t="shared" si="7"/>
        <v>0</v>
      </c>
      <c r="H31" s="11"/>
    </row>
    <row r="32" spans="1:8" ht="31.25" x14ac:dyDescent="0.3">
      <c r="A32" s="244"/>
      <c r="B32" s="768" t="s">
        <v>1137</v>
      </c>
      <c r="C32" s="769">
        <v>0</v>
      </c>
      <c r="D32" s="769">
        <v>35885078</v>
      </c>
      <c r="E32" s="769">
        <v>35000000</v>
      </c>
      <c r="F32" s="769">
        <f t="shared" si="8"/>
        <v>35000000</v>
      </c>
      <c r="G32" s="769">
        <f t="shared" si="7"/>
        <v>35000000</v>
      </c>
      <c r="H32" s="11"/>
    </row>
    <row r="33" spans="1:8" ht="31.25" x14ac:dyDescent="0.3">
      <c r="A33" s="244"/>
      <c r="B33" s="768" t="s">
        <v>348</v>
      </c>
      <c r="C33" s="769">
        <v>0</v>
      </c>
      <c r="D33" s="769">
        <v>80000000</v>
      </c>
      <c r="E33" s="769">
        <v>297400190</v>
      </c>
      <c r="F33" s="769">
        <f t="shared" si="8"/>
        <v>297400190</v>
      </c>
      <c r="G33" s="769">
        <f t="shared" si="7"/>
        <v>297400190</v>
      </c>
      <c r="H33" s="11"/>
    </row>
    <row r="34" spans="1:8" ht="31.25" x14ac:dyDescent="0.3">
      <c r="A34" s="244"/>
      <c r="B34" s="768" t="s">
        <v>1138</v>
      </c>
      <c r="C34" s="769">
        <v>22000000</v>
      </c>
      <c r="D34" s="769">
        <v>11110884</v>
      </c>
      <c r="E34" s="769">
        <v>11000000</v>
      </c>
      <c r="F34" s="769">
        <f t="shared" si="8"/>
        <v>11000000</v>
      </c>
      <c r="G34" s="769">
        <f t="shared" si="7"/>
        <v>11000000</v>
      </c>
      <c r="H34" s="11"/>
    </row>
    <row r="35" spans="1:8" ht="15.65" x14ac:dyDescent="0.3">
      <c r="A35" s="244"/>
      <c r="B35" s="768" t="s">
        <v>676</v>
      </c>
      <c r="C35" s="769">
        <v>125000000</v>
      </c>
      <c r="D35" s="769">
        <v>125000000</v>
      </c>
      <c r="E35" s="769">
        <v>153488888</v>
      </c>
      <c r="F35" s="769">
        <f t="shared" si="8"/>
        <v>153488888</v>
      </c>
      <c r="G35" s="769">
        <f t="shared" si="7"/>
        <v>153488888</v>
      </c>
      <c r="H35" s="11"/>
    </row>
    <row r="36" spans="1:8" ht="31.25" x14ac:dyDescent="0.3">
      <c r="A36" s="244"/>
      <c r="B36" s="768" t="s">
        <v>1301</v>
      </c>
      <c r="C36" s="769">
        <v>0</v>
      </c>
      <c r="D36" s="764">
        <v>0</v>
      </c>
      <c r="E36" s="769">
        <v>500000000</v>
      </c>
      <c r="F36" s="769">
        <f t="shared" si="8"/>
        <v>500000000</v>
      </c>
      <c r="G36" s="769"/>
      <c r="H36" s="11"/>
    </row>
    <row r="37" spans="1:8" x14ac:dyDescent="0.35">
      <c r="A37" s="244"/>
      <c r="B37" s="773" t="s">
        <v>349</v>
      </c>
      <c r="C37" s="769">
        <v>0</v>
      </c>
      <c r="D37" s="764">
        <v>0</v>
      </c>
      <c r="E37" s="764"/>
      <c r="F37" s="769"/>
      <c r="G37" s="769"/>
      <c r="H37" s="11"/>
    </row>
    <row r="38" spans="1:8" x14ac:dyDescent="0.35">
      <c r="A38" s="244"/>
      <c r="B38" s="773" t="s">
        <v>765</v>
      </c>
      <c r="C38" s="142">
        <f>SUM(C39:C42)</f>
        <v>158808217</v>
      </c>
      <c r="D38" s="764">
        <f t="shared" ref="D38:G38" si="9">SUM(D39:D42)</f>
        <v>158808217</v>
      </c>
      <c r="E38" s="764">
        <f t="shared" si="9"/>
        <v>0</v>
      </c>
      <c r="F38" s="142">
        <f t="shared" si="9"/>
        <v>0</v>
      </c>
      <c r="G38" s="142">
        <f t="shared" si="9"/>
        <v>0</v>
      </c>
      <c r="H38" s="11"/>
    </row>
    <row r="39" spans="1:8" x14ac:dyDescent="0.35">
      <c r="A39" s="244"/>
      <c r="B39" s="768" t="s">
        <v>761</v>
      </c>
      <c r="C39" s="769">
        <v>115679933</v>
      </c>
      <c r="D39" s="769">
        <v>115679933</v>
      </c>
      <c r="E39" s="769"/>
      <c r="F39" s="769"/>
      <c r="G39" s="769">
        <f t="shared" ref="G39" si="10">1.05*F39</f>
        <v>0</v>
      </c>
      <c r="H39" s="11"/>
    </row>
    <row r="40" spans="1:8" x14ac:dyDescent="0.35">
      <c r="A40" s="244"/>
      <c r="B40" s="768" t="s">
        <v>762</v>
      </c>
      <c r="C40" s="769">
        <v>14706343</v>
      </c>
      <c r="D40" s="769">
        <v>14706343</v>
      </c>
      <c r="E40" s="769"/>
      <c r="F40" s="769"/>
      <c r="G40" s="769">
        <f t="shared" ref="G40:G42" si="11">1.05*F40</f>
        <v>0</v>
      </c>
      <c r="H40" s="11"/>
    </row>
    <row r="41" spans="1:8" x14ac:dyDescent="0.35">
      <c r="A41" s="244"/>
      <c r="B41" s="768" t="s">
        <v>763</v>
      </c>
      <c r="C41" s="769">
        <v>8437615</v>
      </c>
      <c r="D41" s="769">
        <v>8437615</v>
      </c>
      <c r="E41" s="769"/>
      <c r="F41" s="769"/>
      <c r="G41" s="769">
        <f t="shared" si="11"/>
        <v>0</v>
      </c>
      <c r="H41" s="11"/>
    </row>
    <row r="42" spans="1:8" x14ac:dyDescent="0.35">
      <c r="A42" s="244"/>
      <c r="B42" s="768" t="s">
        <v>764</v>
      </c>
      <c r="C42" s="769">
        <v>19984326</v>
      </c>
      <c r="D42" s="769">
        <v>19984326</v>
      </c>
      <c r="E42" s="769"/>
      <c r="F42" s="769"/>
      <c r="G42" s="769">
        <f t="shared" si="11"/>
        <v>0</v>
      </c>
      <c r="H42" s="18">
        <f>E43+E55</f>
        <v>2256892816.0700059</v>
      </c>
    </row>
    <row r="43" spans="1:8" x14ac:dyDescent="0.35">
      <c r="A43" s="244">
        <v>5</v>
      </c>
      <c r="B43" s="241" t="s">
        <v>350</v>
      </c>
      <c r="C43" s="764">
        <f>SUM(C44:C54)</f>
        <v>1124665392</v>
      </c>
      <c r="D43" s="764">
        <f t="shared" ref="D43:G43" si="12">SUM(D44:D54)</f>
        <v>1152071383</v>
      </c>
      <c r="E43" s="764">
        <f t="shared" si="12"/>
        <v>1063647395</v>
      </c>
      <c r="F43" s="764">
        <f t="shared" si="12"/>
        <v>1116829764.75</v>
      </c>
      <c r="G43" s="764">
        <f t="shared" si="12"/>
        <v>1172671252.9875</v>
      </c>
      <c r="H43" s="11"/>
    </row>
    <row r="44" spans="1:8" ht="31" x14ac:dyDescent="0.35">
      <c r="A44" s="244"/>
      <c r="B44" s="768" t="s">
        <v>1139</v>
      </c>
      <c r="C44" s="772"/>
      <c r="D44" s="769">
        <v>719897</v>
      </c>
      <c r="E44" s="769"/>
      <c r="F44" s="774"/>
      <c r="G44" s="774"/>
      <c r="H44" s="775">
        <f>H42/E57</f>
        <v>0.1482363780494329</v>
      </c>
    </row>
    <row r="45" spans="1:8" ht="31" x14ac:dyDescent="0.35">
      <c r="A45" s="244"/>
      <c r="B45" s="768" t="s">
        <v>1140</v>
      </c>
      <c r="C45" s="772"/>
      <c r="D45" s="769">
        <v>0</v>
      </c>
      <c r="E45" s="769"/>
      <c r="F45" s="774"/>
      <c r="G45" s="774"/>
      <c r="H45" s="11"/>
    </row>
    <row r="46" spans="1:8" x14ac:dyDescent="0.35">
      <c r="A46" s="244"/>
      <c r="B46" s="244" t="s">
        <v>351</v>
      </c>
      <c r="C46" s="772"/>
      <c r="D46" s="769">
        <v>0</v>
      </c>
      <c r="E46" s="769"/>
      <c r="F46" s="774"/>
      <c r="G46" s="774"/>
      <c r="H46" s="11"/>
    </row>
    <row r="47" spans="1:8" x14ac:dyDescent="0.35">
      <c r="A47" s="244"/>
      <c r="B47" s="244" t="s">
        <v>352</v>
      </c>
      <c r="C47" s="772"/>
      <c r="D47" s="769">
        <v>9133220</v>
      </c>
      <c r="E47" s="769"/>
      <c r="F47" s="774"/>
      <c r="G47" s="774"/>
      <c r="H47" s="11"/>
    </row>
    <row r="48" spans="1:8" x14ac:dyDescent="0.35">
      <c r="A48" s="244"/>
      <c r="B48" s="244" t="s">
        <v>1141</v>
      </c>
      <c r="C48" s="772">
        <v>1124665392</v>
      </c>
      <c r="D48" s="769">
        <v>1142218266</v>
      </c>
      <c r="E48" s="782">
        <v>1063647395</v>
      </c>
      <c r="F48" s="774">
        <f>1.05*E48</f>
        <v>1116829764.75</v>
      </c>
      <c r="G48" s="774">
        <f t="shared" ref="G48" si="13">1.05*F48</f>
        <v>1172671252.9875</v>
      </c>
      <c r="H48" s="11"/>
    </row>
    <row r="49" spans="1:8" x14ac:dyDescent="0.35">
      <c r="A49" s="244"/>
      <c r="B49" s="768" t="s">
        <v>1142</v>
      </c>
      <c r="C49" s="770">
        <v>0</v>
      </c>
      <c r="D49" s="769">
        <v>0</v>
      </c>
      <c r="E49" s="769"/>
      <c r="F49" s="774"/>
      <c r="G49" s="774"/>
      <c r="H49" s="11"/>
    </row>
    <row r="50" spans="1:8" x14ac:dyDescent="0.35">
      <c r="A50" s="244"/>
      <c r="B50" s="768" t="s">
        <v>353</v>
      </c>
      <c r="C50" s="772"/>
      <c r="D50" s="769">
        <v>0</v>
      </c>
      <c r="E50" s="769"/>
      <c r="F50" s="774"/>
      <c r="G50" s="774"/>
      <c r="H50" s="11"/>
    </row>
    <row r="51" spans="1:8" x14ac:dyDescent="0.35">
      <c r="A51" s="244"/>
      <c r="B51" s="244" t="s">
        <v>354</v>
      </c>
      <c r="C51" s="770">
        <v>0</v>
      </c>
      <c r="D51" s="769">
        <v>0</v>
      </c>
      <c r="E51" s="769"/>
      <c r="F51" s="774"/>
      <c r="G51" s="774"/>
      <c r="H51" s="11"/>
    </row>
    <row r="52" spans="1:8" x14ac:dyDescent="0.35">
      <c r="A52" s="244"/>
      <c r="B52" s="244" t="s">
        <v>355</v>
      </c>
      <c r="C52" s="770">
        <v>0</v>
      </c>
      <c r="D52" s="769">
        <v>0</v>
      </c>
      <c r="E52" s="769"/>
      <c r="F52" s="774"/>
      <c r="G52" s="774"/>
      <c r="H52" s="11"/>
    </row>
    <row r="53" spans="1:8" x14ac:dyDescent="0.35">
      <c r="A53" s="244"/>
      <c r="B53" s="244" t="s">
        <v>356</v>
      </c>
      <c r="C53" s="772"/>
      <c r="D53" s="769">
        <v>0</v>
      </c>
      <c r="E53" s="769"/>
      <c r="F53" s="774"/>
      <c r="G53" s="774"/>
      <c r="H53" s="11"/>
    </row>
    <row r="54" spans="1:8" x14ac:dyDescent="0.35">
      <c r="A54" s="244"/>
      <c r="B54" s="244" t="s">
        <v>357</v>
      </c>
      <c r="C54" s="772"/>
      <c r="D54" s="769">
        <v>0</v>
      </c>
      <c r="E54" s="769"/>
      <c r="F54" s="774"/>
      <c r="G54" s="774"/>
      <c r="H54" s="11"/>
    </row>
    <row r="55" spans="1:8" ht="30.5" thickBot="1" x14ac:dyDescent="0.4">
      <c r="A55" s="244">
        <v>6</v>
      </c>
      <c r="B55" s="773" t="s">
        <v>358</v>
      </c>
      <c r="C55" s="764">
        <v>918701471</v>
      </c>
      <c r="D55" s="764">
        <v>868201471</v>
      </c>
      <c r="E55" s="699">
        <v>1193245421.0700059</v>
      </c>
      <c r="F55" s="764">
        <f>1.05*E55</f>
        <v>1252907692.1235063</v>
      </c>
      <c r="G55" s="764">
        <f>SUM(D55+F55)</f>
        <v>2121109163.1235063</v>
      </c>
      <c r="H55" s="11"/>
    </row>
    <row r="56" spans="1:8" s="20" customFormat="1" x14ac:dyDescent="0.35">
      <c r="A56" s="244"/>
      <c r="B56" s="244" t="s">
        <v>359</v>
      </c>
      <c r="C56" s="769"/>
      <c r="D56" s="764">
        <v>0</v>
      </c>
      <c r="E56" s="764"/>
      <c r="F56" s="769"/>
      <c r="G56" s="769"/>
      <c r="H56" s="776"/>
    </row>
    <row r="57" spans="1:8" s="20" customFormat="1" x14ac:dyDescent="0.35">
      <c r="A57" s="244"/>
      <c r="B57" s="241" t="s">
        <v>360</v>
      </c>
      <c r="C57" s="777">
        <f t="shared" ref="C57:G57" si="14">C55+C43+C22+C9+C8+C5+C38</f>
        <v>14032209500</v>
      </c>
      <c r="D57" s="777">
        <f t="shared" si="14"/>
        <v>15320095611</v>
      </c>
      <c r="E57" s="777">
        <f>E55+E43+E22+E9+E8+E5+E38</f>
        <v>15224959256.070005</v>
      </c>
      <c r="F57" s="777">
        <f t="shared" si="14"/>
        <v>16080385089.273506</v>
      </c>
      <c r="G57" s="777">
        <f t="shared" si="14"/>
        <v>17087807187.931005</v>
      </c>
      <c r="H57" s="776"/>
    </row>
    <row r="58" spans="1:8" s="20" customFormat="1" ht="15" customHeight="1" x14ac:dyDescent="0.35">
      <c r="A58" s="778"/>
      <c r="B58" s="779"/>
      <c r="C58" s="780"/>
      <c r="D58" s="780">
        <v>15479302788</v>
      </c>
      <c r="E58" s="780"/>
      <c r="F58" s="780"/>
      <c r="G58" s="780"/>
      <c r="H58" s="776"/>
    </row>
    <row r="59" spans="1:8" s="20" customFormat="1" ht="15.65" hidden="1" x14ac:dyDescent="0.3">
      <c r="A59" s="68"/>
      <c r="B59" s="143"/>
      <c r="C59" s="31"/>
      <c r="D59" s="31"/>
      <c r="E59" s="31"/>
      <c r="F59" s="31"/>
      <c r="G59" s="31"/>
    </row>
  </sheetData>
  <pageMargins left="0.7" right="0.7" top="0.75" bottom="0.75" header="0.3" footer="0.3"/>
  <pageSetup paperSize="9" scale="91" orientation="landscape" r:id="rId1"/>
  <colBreaks count="1" manualBreakCount="1">
    <brk id="7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view="pageBreakPreview" topLeftCell="A97" zoomScale="93" zoomScaleNormal="170" zoomScaleSheetLayoutView="93" workbookViewId="0">
      <selection activeCell="I13" sqref="I13"/>
    </sheetView>
  </sheetViews>
  <sheetFormatPr defaultColWidth="9.08984375" defaultRowHeight="14.5" x14ac:dyDescent="0.35"/>
  <cols>
    <col min="1" max="1" width="9.08984375" style="803"/>
    <col min="2" max="2" width="50.54296875" style="804" customWidth="1"/>
    <col min="3" max="4" width="19" style="804" bestFit="1" customWidth="1"/>
    <col min="5" max="5" width="9.08984375" style="804"/>
    <col min="6" max="6" width="17" style="804" customWidth="1"/>
    <col min="7" max="16384" width="9.08984375" style="804"/>
  </cols>
  <sheetData>
    <row r="1" spans="1:4" ht="14.4" x14ac:dyDescent="0.3">
      <c r="A1" s="803" t="s">
        <v>1234</v>
      </c>
    </row>
    <row r="2" spans="1:4" ht="14.4" x14ac:dyDescent="0.3">
      <c r="A2" s="803" t="s">
        <v>1235</v>
      </c>
    </row>
    <row r="3" spans="1:4" ht="14.4" x14ac:dyDescent="0.3">
      <c r="A3" s="803" t="s">
        <v>1236</v>
      </c>
    </row>
    <row r="4" spans="1:4" ht="14.4" x14ac:dyDescent="0.3">
      <c r="A4" s="803" t="s">
        <v>1237</v>
      </c>
    </row>
    <row r="5" spans="1:4" ht="14.4" x14ac:dyDescent="0.3">
      <c r="A5" s="805" t="s">
        <v>1238</v>
      </c>
      <c r="B5" s="806" t="s">
        <v>1143</v>
      </c>
      <c r="C5" s="807" t="s">
        <v>1149</v>
      </c>
      <c r="D5" s="807" t="s">
        <v>1150</v>
      </c>
    </row>
    <row r="6" spans="1:4" ht="14.4" x14ac:dyDescent="0.3">
      <c r="A6" s="805">
        <v>1</v>
      </c>
      <c r="B6" s="808" t="s">
        <v>1239</v>
      </c>
      <c r="C6" s="696">
        <v>0</v>
      </c>
      <c r="D6" s="697">
        <v>10000000</v>
      </c>
    </row>
    <row r="8" spans="1:4" ht="14.4" x14ac:dyDescent="0.3">
      <c r="A8" s="803" t="s">
        <v>1240</v>
      </c>
    </row>
    <row r="9" spans="1:4" ht="14.4" x14ac:dyDescent="0.3">
      <c r="A9" s="805" t="s">
        <v>1238</v>
      </c>
      <c r="B9" s="806" t="s">
        <v>1143</v>
      </c>
      <c r="C9" s="807" t="s">
        <v>1149</v>
      </c>
      <c r="D9" s="807" t="s">
        <v>1150</v>
      </c>
    </row>
    <row r="10" spans="1:4" ht="14.4" x14ac:dyDescent="0.3">
      <c r="A10" s="805">
        <v>1</v>
      </c>
      <c r="B10" s="808" t="s">
        <v>375</v>
      </c>
      <c r="C10" s="696">
        <v>7268345</v>
      </c>
      <c r="D10" s="697">
        <v>20954006.76385</v>
      </c>
    </row>
    <row r="11" spans="1:4" ht="14.4" x14ac:dyDescent="0.3">
      <c r="A11" s="805">
        <v>2</v>
      </c>
      <c r="B11" s="809" t="s">
        <v>378</v>
      </c>
      <c r="C11" s="698">
        <v>15377302</v>
      </c>
      <c r="D11" s="697">
        <v>15596617.265383599</v>
      </c>
    </row>
    <row r="12" spans="1:4" ht="14.4" x14ac:dyDescent="0.3">
      <c r="A12" s="805">
        <v>3</v>
      </c>
      <c r="B12" s="809" t="s">
        <v>770</v>
      </c>
      <c r="C12" s="698">
        <v>13867859</v>
      </c>
      <c r="D12" s="697">
        <f>5523365.55119878</f>
        <v>5523365.5511987796</v>
      </c>
    </row>
    <row r="13" spans="1:4" ht="14.4" x14ac:dyDescent="0.3">
      <c r="A13" s="805">
        <v>4</v>
      </c>
      <c r="B13" s="810" t="s">
        <v>1241</v>
      </c>
      <c r="C13" s="697">
        <v>3000000</v>
      </c>
      <c r="D13" s="697">
        <v>5000000</v>
      </c>
    </row>
    <row r="14" spans="1:4" ht="14.4" x14ac:dyDescent="0.3">
      <c r="A14" s="805">
        <v>5</v>
      </c>
      <c r="B14" s="810" t="s">
        <v>1242</v>
      </c>
      <c r="C14" s="697">
        <v>20131375</v>
      </c>
      <c r="D14" s="697">
        <v>42924376.7345125</v>
      </c>
    </row>
    <row r="15" spans="1:4" ht="14.4" x14ac:dyDescent="0.3">
      <c r="A15" s="805">
        <v>6</v>
      </c>
      <c r="B15" s="810" t="s">
        <v>1243</v>
      </c>
      <c r="C15" s="697">
        <v>9679233</v>
      </c>
      <c r="D15" s="697">
        <v>8679233</v>
      </c>
    </row>
    <row r="16" spans="1:4" ht="14.4" x14ac:dyDescent="0.3">
      <c r="A16" s="805">
        <v>7</v>
      </c>
      <c r="B16" s="810" t="s">
        <v>1244</v>
      </c>
      <c r="C16" s="697">
        <v>750000</v>
      </c>
      <c r="D16" s="697">
        <v>1750000</v>
      </c>
    </row>
    <row r="17" spans="1:4" ht="14.4" x14ac:dyDescent="0.3">
      <c r="A17" s="805">
        <v>8</v>
      </c>
      <c r="B17" s="808" t="s">
        <v>376</v>
      </c>
      <c r="C17" s="696">
        <v>59834243</v>
      </c>
      <c r="D17" s="697">
        <v>100014388.768261</v>
      </c>
    </row>
    <row r="18" spans="1:4" ht="14.4" x14ac:dyDescent="0.3">
      <c r="A18" s="805">
        <v>9</v>
      </c>
      <c r="B18" s="809" t="s">
        <v>1245</v>
      </c>
      <c r="C18" s="698">
        <v>1256598</v>
      </c>
      <c r="D18" s="697">
        <v>3029366.7941519599</v>
      </c>
    </row>
    <row r="19" spans="1:4" ht="14.4" x14ac:dyDescent="0.3">
      <c r="A19" s="805">
        <v>10</v>
      </c>
      <c r="B19" s="809" t="s">
        <v>1246</v>
      </c>
      <c r="C19" s="698">
        <v>112500000</v>
      </c>
      <c r="D19" s="697">
        <v>163000000</v>
      </c>
    </row>
    <row r="20" spans="1:4" s="803" customFormat="1" ht="15" thickBot="1" x14ac:dyDescent="0.35">
      <c r="A20" s="811"/>
      <c r="B20" s="812" t="s">
        <v>709</v>
      </c>
      <c r="C20" s="700">
        <f>SUM(C10:C19)</f>
        <v>243664955</v>
      </c>
      <c r="D20" s="700">
        <f>SUM(D10:D19)</f>
        <v>366471354.87735784</v>
      </c>
    </row>
    <row r="22" spans="1:4" ht="14.4" x14ac:dyDescent="0.3">
      <c r="A22" s="803" t="s">
        <v>1247</v>
      </c>
    </row>
    <row r="23" spans="1:4" ht="14.4" x14ac:dyDescent="0.3">
      <c r="A23" s="805" t="s">
        <v>1238</v>
      </c>
      <c r="B23" s="806" t="s">
        <v>1143</v>
      </c>
      <c r="C23" s="807" t="s">
        <v>1149</v>
      </c>
      <c r="D23" s="807" t="s">
        <v>1150</v>
      </c>
    </row>
    <row r="24" spans="1:4" ht="14.4" x14ac:dyDescent="0.3">
      <c r="A24" s="805">
        <v>1</v>
      </c>
      <c r="B24" s="808" t="s">
        <v>366</v>
      </c>
      <c r="C24" s="696">
        <v>26309331</v>
      </c>
      <c r="D24" s="697">
        <v>18551802.332768999</v>
      </c>
    </row>
    <row r="25" spans="1:4" ht="14.4" x14ac:dyDescent="0.3">
      <c r="A25" s="805">
        <v>2</v>
      </c>
      <c r="B25" s="810" t="s">
        <v>1248</v>
      </c>
      <c r="C25" s="810">
        <v>1273388</v>
      </c>
      <c r="D25" s="810">
        <v>2273388</v>
      </c>
    </row>
    <row r="26" spans="1:4" ht="14.4" x14ac:dyDescent="0.3">
      <c r="A26" s="805">
        <v>3</v>
      </c>
      <c r="B26" s="810" t="s">
        <v>1249</v>
      </c>
      <c r="C26" s="810">
        <v>2785074</v>
      </c>
      <c r="D26" s="810">
        <v>4785074</v>
      </c>
    </row>
    <row r="27" spans="1:4" ht="15" thickBot="1" x14ac:dyDescent="0.35">
      <c r="A27" s="811"/>
      <c r="B27" s="812" t="s">
        <v>709</v>
      </c>
      <c r="C27" s="811">
        <f>SUM(C24:C26)</f>
        <v>30367793</v>
      </c>
      <c r="D27" s="811">
        <f>SUM(D24:D26)</f>
        <v>25610264.332768999</v>
      </c>
    </row>
    <row r="29" spans="1:4" ht="14.4" x14ac:dyDescent="0.3">
      <c r="A29" s="803" t="s">
        <v>1250</v>
      </c>
    </row>
    <row r="30" spans="1:4" ht="14.4" x14ac:dyDescent="0.3">
      <c r="A30" s="805" t="s">
        <v>1238</v>
      </c>
      <c r="B30" s="806" t="s">
        <v>1143</v>
      </c>
      <c r="C30" s="807" t="s">
        <v>1149</v>
      </c>
      <c r="D30" s="807" t="s">
        <v>1150</v>
      </c>
    </row>
    <row r="31" spans="1:4" ht="14.4" x14ac:dyDescent="0.3">
      <c r="A31" s="805">
        <v>1</v>
      </c>
      <c r="B31" s="809" t="s">
        <v>1144</v>
      </c>
      <c r="C31" s="698">
        <v>8713270</v>
      </c>
      <c r="D31" s="697">
        <v>30137645.2982421</v>
      </c>
    </row>
    <row r="32" spans="1:4" ht="14.4" x14ac:dyDescent="0.3">
      <c r="A32" s="805">
        <v>2</v>
      </c>
      <c r="B32" s="810" t="s">
        <v>1251</v>
      </c>
      <c r="C32" s="810">
        <v>0</v>
      </c>
      <c r="D32" s="810">
        <v>124000</v>
      </c>
    </row>
    <row r="33" spans="1:4" ht="15" thickBot="1" x14ac:dyDescent="0.35">
      <c r="A33" s="811"/>
      <c r="B33" s="812" t="s">
        <v>709</v>
      </c>
      <c r="C33" s="811">
        <f>SUM(C31:C32)</f>
        <v>8713270</v>
      </c>
      <c r="D33" s="811">
        <f>SUM(D31:D32)</f>
        <v>30261645.2982421</v>
      </c>
    </row>
    <row r="35" spans="1:4" ht="14.4" x14ac:dyDescent="0.3">
      <c r="A35" s="803" t="s">
        <v>1252</v>
      </c>
    </row>
    <row r="36" spans="1:4" ht="14.4" x14ac:dyDescent="0.3">
      <c r="A36" s="803" t="s">
        <v>1253</v>
      </c>
    </row>
    <row r="37" spans="1:4" ht="14.4" x14ac:dyDescent="0.3">
      <c r="A37" s="805" t="s">
        <v>1238</v>
      </c>
      <c r="B37" s="806" t="s">
        <v>1143</v>
      </c>
      <c r="C37" s="807" t="s">
        <v>1149</v>
      </c>
      <c r="D37" s="807" t="s">
        <v>1150</v>
      </c>
    </row>
    <row r="38" spans="1:4" ht="14.4" x14ac:dyDescent="0.3">
      <c r="A38" s="805">
        <v>1</v>
      </c>
      <c r="B38" s="810" t="s">
        <v>1254</v>
      </c>
      <c r="C38" s="810">
        <v>2205000</v>
      </c>
      <c r="D38" s="810">
        <v>4205000</v>
      </c>
    </row>
    <row r="39" spans="1:4" ht="14.4" x14ac:dyDescent="0.3">
      <c r="A39" s="813"/>
      <c r="B39" s="814"/>
      <c r="C39" s="814"/>
      <c r="D39" s="814"/>
    </row>
    <row r="40" spans="1:4" ht="14.4" x14ac:dyDescent="0.3">
      <c r="A40" s="803" t="s">
        <v>1255</v>
      </c>
    </row>
    <row r="41" spans="1:4" ht="14.4" x14ac:dyDescent="0.3">
      <c r="A41" s="805" t="s">
        <v>1238</v>
      </c>
      <c r="B41" s="806" t="s">
        <v>1143</v>
      </c>
      <c r="C41" s="807" t="s">
        <v>1149</v>
      </c>
      <c r="D41" s="807" t="s">
        <v>1150</v>
      </c>
    </row>
    <row r="42" spans="1:4" ht="14.4" x14ac:dyDescent="0.3">
      <c r="A42" s="805">
        <v>1</v>
      </c>
      <c r="B42" s="810" t="s">
        <v>1256</v>
      </c>
      <c r="C42" s="810">
        <v>0</v>
      </c>
      <c r="D42" s="810">
        <v>3773829.94821333</v>
      </c>
    </row>
    <row r="44" spans="1:4" ht="14.4" x14ac:dyDescent="0.3">
      <c r="A44" s="803" t="s">
        <v>1257</v>
      </c>
    </row>
    <row r="45" spans="1:4" ht="14.4" x14ac:dyDescent="0.3">
      <c r="A45" s="805" t="s">
        <v>1238</v>
      </c>
      <c r="B45" s="806" t="s">
        <v>1143</v>
      </c>
      <c r="C45" s="807" t="s">
        <v>1149</v>
      </c>
      <c r="D45" s="807" t="s">
        <v>1150</v>
      </c>
    </row>
    <row r="46" spans="1:4" ht="14.4" x14ac:dyDescent="0.3">
      <c r="A46" s="805">
        <v>1</v>
      </c>
      <c r="B46" s="808" t="s">
        <v>361</v>
      </c>
      <c r="C46" s="696">
        <v>49875520</v>
      </c>
      <c r="D46" s="697">
        <v>155856506.320288</v>
      </c>
    </row>
    <row r="47" spans="1:4" ht="14.4" x14ac:dyDescent="0.3">
      <c r="A47" s="805">
        <v>2</v>
      </c>
      <c r="B47" s="809" t="s">
        <v>373</v>
      </c>
      <c r="C47" s="698">
        <v>6550339</v>
      </c>
      <c r="D47" s="697">
        <v>5365838.1256683292</v>
      </c>
    </row>
    <row r="48" spans="1:4" ht="14.4" x14ac:dyDescent="0.3">
      <c r="A48" s="805">
        <v>3</v>
      </c>
      <c r="B48" s="815" t="s">
        <v>1258</v>
      </c>
      <c r="C48" s="804">
        <v>7957512</v>
      </c>
      <c r="D48" s="810">
        <v>7957512</v>
      </c>
    </row>
    <row r="49" spans="1:4" ht="14.4" x14ac:dyDescent="0.3">
      <c r="A49" s="805">
        <v>4</v>
      </c>
      <c r="B49" s="808" t="s">
        <v>768</v>
      </c>
      <c r="C49" s="696">
        <v>953808</v>
      </c>
      <c r="D49" s="697">
        <v>781330.45189988776</v>
      </c>
    </row>
    <row r="50" spans="1:4" ht="14.4" x14ac:dyDescent="0.3">
      <c r="A50" s="805">
        <v>5</v>
      </c>
      <c r="B50" s="809" t="s">
        <v>767</v>
      </c>
      <c r="C50" s="698">
        <v>341337</v>
      </c>
      <c r="D50" s="697">
        <v>279612.87015851401</v>
      </c>
    </row>
    <row r="51" spans="1:4" ht="14.4" x14ac:dyDescent="0.3">
      <c r="A51" s="805">
        <v>6</v>
      </c>
      <c r="B51" s="808" t="s">
        <v>774</v>
      </c>
      <c r="C51" s="696">
        <v>117692</v>
      </c>
      <c r="D51" s="697">
        <v>196409.700427131</v>
      </c>
    </row>
    <row r="52" spans="1:4" ht="14.4" x14ac:dyDescent="0.3">
      <c r="A52" s="805">
        <v>7</v>
      </c>
      <c r="B52" s="810" t="s">
        <v>1259</v>
      </c>
      <c r="C52" s="804">
        <v>0</v>
      </c>
      <c r="D52" s="810">
        <v>454671.995261879</v>
      </c>
    </row>
    <row r="53" spans="1:4" ht="14.4" x14ac:dyDescent="0.3">
      <c r="A53" s="805">
        <v>8</v>
      </c>
      <c r="B53" s="809" t="s">
        <v>773</v>
      </c>
      <c r="C53" s="698">
        <v>408158</v>
      </c>
      <c r="D53" s="697">
        <v>334350.59738076676</v>
      </c>
    </row>
    <row r="54" spans="1:4" ht="15" thickBot="1" x14ac:dyDescent="0.35">
      <c r="A54" s="811"/>
      <c r="B54" s="812" t="s">
        <v>709</v>
      </c>
      <c r="C54" s="700">
        <f>SUM(C46:C53)</f>
        <v>66204366</v>
      </c>
      <c r="D54" s="700">
        <f>SUM(D46:D53)</f>
        <v>171226232.06108451</v>
      </c>
    </row>
    <row r="56" spans="1:4" ht="14.4" x14ac:dyDescent="0.3">
      <c r="A56" s="803" t="s">
        <v>1260</v>
      </c>
    </row>
    <row r="57" spans="1:4" ht="14.4" x14ac:dyDescent="0.3">
      <c r="A57" s="805" t="s">
        <v>1238</v>
      </c>
      <c r="B57" s="806" t="s">
        <v>1143</v>
      </c>
      <c r="C57" s="807" t="s">
        <v>1149</v>
      </c>
      <c r="D57" s="807" t="s">
        <v>1150</v>
      </c>
    </row>
    <row r="58" spans="1:4" ht="14.4" x14ac:dyDescent="0.3">
      <c r="A58" s="805">
        <v>1</v>
      </c>
      <c r="B58" s="808" t="s">
        <v>371</v>
      </c>
      <c r="C58" s="696">
        <v>23489140</v>
      </c>
      <c r="D58" s="697">
        <v>28241587.794335701</v>
      </c>
    </row>
    <row r="59" spans="1:4" ht="14.4" x14ac:dyDescent="0.3">
      <c r="A59" s="805">
        <v>2</v>
      </c>
      <c r="B59" s="809" t="s">
        <v>372</v>
      </c>
      <c r="C59" s="698">
        <v>5094861</v>
      </c>
      <c r="D59" s="697">
        <v>4173554.8952169758</v>
      </c>
    </row>
    <row r="60" spans="1:4" ht="14.4" x14ac:dyDescent="0.3">
      <c r="A60" s="805">
        <v>3</v>
      </c>
      <c r="B60" s="808" t="s">
        <v>1261</v>
      </c>
      <c r="C60" s="696">
        <v>891608</v>
      </c>
      <c r="D60" s="697">
        <v>730378.1070797845</v>
      </c>
    </row>
    <row r="61" spans="1:4" ht="15" thickBot="1" x14ac:dyDescent="0.35">
      <c r="A61" s="811"/>
      <c r="B61" s="812" t="s">
        <v>709</v>
      </c>
      <c r="C61" s="811">
        <f>SUM(C58:C60)</f>
        <v>29475609</v>
      </c>
      <c r="D61" s="811">
        <f>SUM(D58:D60)</f>
        <v>33145520.796632461</v>
      </c>
    </row>
    <row r="63" spans="1:4" ht="14.4" x14ac:dyDescent="0.3">
      <c r="A63" s="803" t="s">
        <v>1262</v>
      </c>
    </row>
    <row r="64" spans="1:4" ht="14.4" x14ac:dyDescent="0.3">
      <c r="A64" s="805" t="s">
        <v>1238</v>
      </c>
      <c r="B64" s="806" t="s">
        <v>1143</v>
      </c>
      <c r="C64" s="807" t="s">
        <v>1149</v>
      </c>
      <c r="D64" s="807" t="s">
        <v>1150</v>
      </c>
    </row>
    <row r="65" spans="1:4" ht="14.4" x14ac:dyDescent="0.3">
      <c r="A65" s="805">
        <v>1</v>
      </c>
      <c r="B65" s="809" t="s">
        <v>370</v>
      </c>
      <c r="C65" s="698">
        <v>21375636</v>
      </c>
      <c r="D65" s="697">
        <v>12510269.714164199</v>
      </c>
    </row>
    <row r="67" spans="1:4" ht="14.4" x14ac:dyDescent="0.3">
      <c r="A67" s="803" t="s">
        <v>1263</v>
      </c>
    </row>
    <row r="68" spans="1:4" ht="14.4" x14ac:dyDescent="0.3">
      <c r="A68" s="805" t="s">
        <v>1238</v>
      </c>
      <c r="B68" s="806" t="s">
        <v>1143</v>
      </c>
      <c r="C68" s="807" t="s">
        <v>1149</v>
      </c>
      <c r="D68" s="807" t="s">
        <v>1150</v>
      </c>
    </row>
    <row r="69" spans="1:4" ht="14.4" x14ac:dyDescent="0.3">
      <c r="A69" s="805">
        <v>1</v>
      </c>
      <c r="B69" s="808" t="s">
        <v>367</v>
      </c>
      <c r="C69" s="696">
        <v>45116130</v>
      </c>
      <c r="D69" s="697">
        <v>48957759.046762101</v>
      </c>
    </row>
    <row r="71" spans="1:4" ht="14.4" x14ac:dyDescent="0.3">
      <c r="A71" s="803" t="s">
        <v>1264</v>
      </c>
    </row>
    <row r="72" spans="1:4" ht="14.4" x14ac:dyDescent="0.3">
      <c r="A72" s="805" t="s">
        <v>1238</v>
      </c>
      <c r="B72" s="806" t="s">
        <v>1143</v>
      </c>
      <c r="C72" s="807" t="s">
        <v>1149</v>
      </c>
      <c r="D72" s="807" t="s">
        <v>1150</v>
      </c>
    </row>
    <row r="73" spans="1:4" ht="14.4" x14ac:dyDescent="0.3">
      <c r="A73" s="805">
        <v>1</v>
      </c>
      <c r="B73" s="809" t="s">
        <v>1265</v>
      </c>
      <c r="C73" s="698">
        <v>42546108</v>
      </c>
      <c r="D73" s="697">
        <v>44852475.330697</v>
      </c>
    </row>
    <row r="74" spans="1:4" ht="14.4" x14ac:dyDescent="0.3">
      <c r="A74" s="805"/>
      <c r="B74" s="809" t="s">
        <v>1266</v>
      </c>
      <c r="C74" s="698">
        <v>4051688</v>
      </c>
      <c r="D74" s="698">
        <v>4051688</v>
      </c>
    </row>
    <row r="75" spans="1:4" ht="14.4" x14ac:dyDescent="0.3">
      <c r="A75" s="805">
        <v>2</v>
      </c>
      <c r="B75" s="808" t="s">
        <v>766</v>
      </c>
      <c r="C75" s="696">
        <v>8382701</v>
      </c>
      <c r="D75" s="697">
        <v>4866853.2455920298</v>
      </c>
    </row>
    <row r="76" spans="1:4" ht="15" thickBot="1" x14ac:dyDescent="0.35">
      <c r="A76" s="811"/>
      <c r="B76" s="812" t="s">
        <v>709</v>
      </c>
      <c r="C76" s="811">
        <f>SUM(C73:C75)</f>
        <v>54980497</v>
      </c>
      <c r="D76" s="811">
        <f>SUM(D73:D75)</f>
        <v>53771016.576289028</v>
      </c>
    </row>
    <row r="78" spans="1:4" ht="14.4" x14ac:dyDescent="0.3">
      <c r="A78" s="803" t="s">
        <v>1267</v>
      </c>
    </row>
    <row r="79" spans="1:4" ht="14.4" x14ac:dyDescent="0.3">
      <c r="A79" s="805" t="s">
        <v>1238</v>
      </c>
      <c r="B79" s="806" t="s">
        <v>1143</v>
      </c>
      <c r="C79" s="807" t="s">
        <v>1149</v>
      </c>
      <c r="D79" s="807" t="s">
        <v>1150</v>
      </c>
    </row>
    <row r="80" spans="1:4" ht="14.4" x14ac:dyDescent="0.3">
      <c r="A80" s="805">
        <v>1</v>
      </c>
      <c r="B80" s="808" t="s">
        <v>368</v>
      </c>
      <c r="C80" s="696">
        <v>19035316</v>
      </c>
      <c r="D80" s="697">
        <v>19593150.877678901</v>
      </c>
    </row>
    <row r="81" spans="1:4" ht="14.4" x14ac:dyDescent="0.3">
      <c r="A81" s="805">
        <v>2</v>
      </c>
      <c r="B81" s="809" t="s">
        <v>369</v>
      </c>
      <c r="C81" s="698">
        <v>10207874</v>
      </c>
      <c r="D81" s="697">
        <v>8361979.3557583028</v>
      </c>
    </row>
    <row r="82" spans="1:4" ht="14.4" x14ac:dyDescent="0.3">
      <c r="A82" s="805">
        <v>3</v>
      </c>
      <c r="B82" s="809" t="s">
        <v>1268</v>
      </c>
      <c r="C82" s="698">
        <v>77350103</v>
      </c>
      <c r="D82" s="697">
        <v>65362847.587242797</v>
      </c>
    </row>
    <row r="83" spans="1:4" ht="14.4" x14ac:dyDescent="0.3">
      <c r="A83" s="805">
        <v>4</v>
      </c>
      <c r="B83" s="810" t="s">
        <v>1269</v>
      </c>
      <c r="C83" s="804">
        <v>0</v>
      </c>
      <c r="D83" s="810">
        <v>2706093.8672022596</v>
      </c>
    </row>
    <row r="84" spans="1:4" ht="15" thickBot="1" x14ac:dyDescent="0.35">
      <c r="A84" s="811"/>
      <c r="B84" s="812" t="s">
        <v>709</v>
      </c>
      <c r="C84" s="811">
        <f>SUM(C80:C83)</f>
        <v>106593293</v>
      </c>
      <c r="D84" s="811">
        <f>SUM(D80:D83)</f>
        <v>96024071.687882245</v>
      </c>
    </row>
    <row r="86" spans="1:4" x14ac:dyDescent="0.35">
      <c r="A86" s="803" t="s">
        <v>1270</v>
      </c>
    </row>
    <row r="87" spans="1:4" ht="14.4" x14ac:dyDescent="0.3">
      <c r="A87" s="805" t="s">
        <v>1238</v>
      </c>
      <c r="B87" s="806" t="s">
        <v>1143</v>
      </c>
      <c r="C87" s="807" t="s">
        <v>1149</v>
      </c>
      <c r="D87" s="807" t="s">
        <v>1150</v>
      </c>
    </row>
    <row r="88" spans="1:4" ht="14.4" x14ac:dyDescent="0.3">
      <c r="A88" s="805">
        <v>1</v>
      </c>
      <c r="B88" s="808" t="s">
        <v>374</v>
      </c>
      <c r="C88" s="696">
        <v>80703741</v>
      </c>
      <c r="D88" s="697">
        <v>80110045.654410005</v>
      </c>
    </row>
    <row r="89" spans="1:4" ht="14.4" x14ac:dyDescent="0.3">
      <c r="A89" s="805">
        <v>2</v>
      </c>
      <c r="B89" s="808" t="s">
        <v>377</v>
      </c>
      <c r="C89" s="696">
        <v>2759466</v>
      </c>
      <c r="D89" s="697">
        <v>4260470.4686712399</v>
      </c>
    </row>
    <row r="90" spans="1:4" ht="15" thickBot="1" x14ac:dyDescent="0.35">
      <c r="A90" s="811"/>
      <c r="B90" s="812" t="s">
        <v>709</v>
      </c>
      <c r="C90" s="811">
        <f>SUM(C88:C89)</f>
        <v>83463207</v>
      </c>
      <c r="D90" s="811">
        <f>SUM(D88:D89)</f>
        <v>84370516.123081237</v>
      </c>
    </row>
    <row r="92" spans="1:4" ht="14.4" x14ac:dyDescent="0.3">
      <c r="A92" s="803" t="s">
        <v>1271</v>
      </c>
    </row>
    <row r="93" spans="1:4" ht="14.4" x14ac:dyDescent="0.3">
      <c r="A93" s="805" t="s">
        <v>1238</v>
      </c>
      <c r="B93" s="806" t="s">
        <v>1143</v>
      </c>
      <c r="C93" s="807" t="s">
        <v>1149</v>
      </c>
      <c r="D93" s="807" t="s">
        <v>1150</v>
      </c>
    </row>
    <row r="94" spans="1:4" ht="14.4" x14ac:dyDescent="0.3">
      <c r="A94" s="805">
        <v>1</v>
      </c>
      <c r="B94" s="808" t="s">
        <v>363</v>
      </c>
      <c r="C94" s="696">
        <v>156437022</v>
      </c>
      <c r="D94" s="697">
        <v>176148441.92241299</v>
      </c>
    </row>
    <row r="95" spans="1:4" ht="14.4" x14ac:dyDescent="0.3">
      <c r="A95" s="805">
        <v>2</v>
      </c>
      <c r="B95" s="809" t="s">
        <v>364</v>
      </c>
      <c r="C95" s="698">
        <v>10422436</v>
      </c>
      <c r="D95" s="697">
        <v>10537000.008640699</v>
      </c>
    </row>
    <row r="96" spans="1:4" ht="14.4" x14ac:dyDescent="0.3">
      <c r="A96" s="805">
        <v>3</v>
      </c>
      <c r="B96" s="808" t="s">
        <v>365</v>
      </c>
      <c r="C96" s="696">
        <v>15074865</v>
      </c>
      <c r="D96" s="697">
        <v>15348870.089976</v>
      </c>
    </row>
    <row r="97" spans="1:4" ht="14.4" x14ac:dyDescent="0.3">
      <c r="A97" s="805">
        <v>4</v>
      </c>
      <c r="B97" s="808" t="s">
        <v>1239</v>
      </c>
      <c r="C97" s="696">
        <v>7132860</v>
      </c>
      <c r="D97" s="697">
        <v>6043021.5799601497</v>
      </c>
    </row>
    <row r="98" spans="1:4" ht="15" thickBot="1" x14ac:dyDescent="0.35">
      <c r="A98" s="811"/>
      <c r="B98" s="812" t="s">
        <v>709</v>
      </c>
      <c r="C98" s="811">
        <f>SUM(C94:C97)</f>
        <v>189067183</v>
      </c>
      <c r="D98" s="811">
        <f>SUM(D94:D97)</f>
        <v>208077333.60098985</v>
      </c>
    </row>
    <row r="100" spans="1:4" ht="14.4" x14ac:dyDescent="0.3">
      <c r="A100" s="803" t="s">
        <v>1272</v>
      </c>
    </row>
    <row r="101" spans="1:4" ht="14.4" x14ac:dyDescent="0.3">
      <c r="A101" s="805" t="s">
        <v>1238</v>
      </c>
      <c r="B101" s="806" t="s">
        <v>1143</v>
      </c>
      <c r="C101" s="807" t="s">
        <v>1149</v>
      </c>
      <c r="D101" s="807" t="s">
        <v>1150</v>
      </c>
    </row>
    <row r="102" spans="1:4" ht="14.4" x14ac:dyDescent="0.3">
      <c r="A102" s="805">
        <v>1</v>
      </c>
      <c r="B102" s="809" t="s">
        <v>771</v>
      </c>
      <c r="C102" s="698">
        <v>1071245</v>
      </c>
      <c r="D102" s="697">
        <v>2877531.2640966401</v>
      </c>
    </row>
    <row r="104" spans="1:4" ht="14.4" x14ac:dyDescent="0.3">
      <c r="A104" s="803" t="s">
        <v>1273</v>
      </c>
    </row>
    <row r="105" spans="1:4" ht="14.4" x14ac:dyDescent="0.3">
      <c r="A105" s="805" t="s">
        <v>1238</v>
      </c>
      <c r="B105" s="806" t="s">
        <v>1143</v>
      </c>
      <c r="C105" s="807" t="s">
        <v>1149</v>
      </c>
      <c r="D105" s="807" t="s">
        <v>1150</v>
      </c>
    </row>
    <row r="106" spans="1:4" ht="14.4" x14ac:dyDescent="0.3">
      <c r="A106" s="805">
        <v>1</v>
      </c>
      <c r="B106" s="809" t="s">
        <v>362</v>
      </c>
      <c r="C106" s="698">
        <v>10074889</v>
      </c>
      <c r="D106" s="697">
        <v>25253042.095695499</v>
      </c>
    </row>
    <row r="108" spans="1:4" s="803" customFormat="1" ht="14.4" x14ac:dyDescent="0.3">
      <c r="A108" s="803" t="s">
        <v>1017</v>
      </c>
    </row>
    <row r="109" spans="1:4" s="803" customFormat="1" ht="14.4" x14ac:dyDescent="0.3">
      <c r="A109" s="805" t="s">
        <v>1238</v>
      </c>
      <c r="B109" s="806" t="s">
        <v>1143</v>
      </c>
      <c r="C109" s="807" t="s">
        <v>1149</v>
      </c>
      <c r="D109" s="807" t="s">
        <v>1150</v>
      </c>
    </row>
    <row r="110" spans="1:4" ht="14.4" x14ac:dyDescent="0.3">
      <c r="A110" s="805">
        <v>1</v>
      </c>
      <c r="B110" s="808" t="s">
        <v>769</v>
      </c>
      <c r="C110" s="696">
        <v>333291</v>
      </c>
      <c r="D110" s="697">
        <v>273021.83211313543</v>
      </c>
    </row>
    <row r="111" spans="1:4" ht="14.4" x14ac:dyDescent="0.3">
      <c r="A111" s="805">
        <v>2</v>
      </c>
      <c r="B111" s="809" t="s">
        <v>379</v>
      </c>
      <c r="C111" s="698">
        <v>4293387</v>
      </c>
      <c r="D111" s="697">
        <v>3517011.8146326123</v>
      </c>
    </row>
    <row r="112" spans="1:4" ht="14.4" x14ac:dyDescent="0.3">
      <c r="A112" s="805">
        <v>3</v>
      </c>
      <c r="B112" s="808" t="s">
        <v>772</v>
      </c>
      <c r="C112" s="696">
        <v>1188810</v>
      </c>
      <c r="D112" s="697">
        <v>5000000</v>
      </c>
    </row>
    <row r="113" spans="1:4" ht="14.4" x14ac:dyDescent="0.3">
      <c r="A113" s="805">
        <v>4</v>
      </c>
      <c r="B113" s="808" t="s">
        <v>1274</v>
      </c>
      <c r="C113" s="696">
        <v>7797983</v>
      </c>
      <c r="D113" s="697">
        <f>(960000-300000)*12</f>
        <v>7920000</v>
      </c>
    </row>
    <row r="114" spans="1:4" s="803" customFormat="1" ht="15" thickBot="1" x14ac:dyDescent="0.35">
      <c r="A114" s="811"/>
      <c r="B114" s="811" t="s">
        <v>1275</v>
      </c>
      <c r="C114" s="811">
        <f>SUM(C110:C113)</f>
        <v>13613471</v>
      </c>
      <c r="D114" s="811">
        <f>SUM(D110:D113)</f>
        <v>16710033.646745749</v>
      </c>
    </row>
    <row r="116" spans="1:4" s="803" customFormat="1" ht="15" thickBot="1" x14ac:dyDescent="0.35">
      <c r="A116" s="811"/>
      <c r="B116" s="811" t="s">
        <v>1276</v>
      </c>
      <c r="C116" s="811">
        <f>C6+C20+C27+C33+C38+C42+C54+C61+C65+C69+C76+C84+C90+C98+C102+C106+C114</f>
        <v>905986544</v>
      </c>
      <c r="D116" s="811">
        <f>D6+D20+D27+D33+D38+D42+D54+D61+D65+D69+D76+D84+D90+D98+D102+D106+D114</f>
        <v>1193245421.0700059</v>
      </c>
    </row>
    <row r="117" spans="1:4" ht="14.4" x14ac:dyDescent="0.3">
      <c r="D117" s="804">
        <f>'Resource envelope'!E55</f>
        <v>1193245421.0700059</v>
      </c>
    </row>
    <row r="119" spans="1:4" ht="14.4" x14ac:dyDescent="0.3">
      <c r="D119" s="804">
        <f>D116-D117</f>
        <v>0</v>
      </c>
    </row>
    <row r="120" spans="1:4" ht="16.25" thickBot="1" x14ac:dyDescent="0.35">
      <c r="C120" s="816">
        <v>1076145421</v>
      </c>
      <c r="D120" s="804">
        <f>D116-C120</f>
        <v>117100000.07000589</v>
      </c>
    </row>
    <row r="121" spans="1:4" ht="15" thickBot="1" x14ac:dyDescent="0.35">
      <c r="C121" s="817"/>
    </row>
    <row r="122" spans="1:4" ht="16.25" thickBot="1" x14ac:dyDescent="0.35">
      <c r="C122" s="816">
        <v>15107859256</v>
      </c>
    </row>
  </sheetData>
  <pageMargins left="0.7" right="0.7" top="0.75" bottom="0.75" header="0.3" footer="0.3"/>
  <pageSetup paperSize="9" scale="8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7"/>
  <sheetViews>
    <sheetView view="pageBreakPreview" zoomScale="60" zoomScaleNormal="100" workbookViewId="0">
      <selection activeCell="D33" sqref="D33"/>
    </sheetView>
  </sheetViews>
  <sheetFormatPr defaultColWidth="30.90625" defaultRowHeight="15.5" x14ac:dyDescent="0.35"/>
  <cols>
    <col min="1" max="1" width="7.08984375" style="149" customWidth="1"/>
    <col min="2" max="2" width="33.6328125" style="150" customWidth="1"/>
    <col min="3" max="3" width="20.81640625" style="151" customWidth="1"/>
    <col min="4" max="4" width="20.36328125" style="151" customWidth="1"/>
    <col min="5" max="5" width="23.1796875" style="151" customWidth="1"/>
    <col min="6" max="16384" width="30.90625" style="149"/>
  </cols>
  <sheetData>
    <row r="2" spans="2:5" ht="15.65" x14ac:dyDescent="0.25">
      <c r="B2" s="123" t="s">
        <v>1039</v>
      </c>
      <c r="C2" s="124" t="s">
        <v>384</v>
      </c>
      <c r="D2" s="124" t="s">
        <v>385</v>
      </c>
      <c r="E2" s="125" t="s">
        <v>161</v>
      </c>
    </row>
    <row r="3" spans="2:5" ht="15.65" x14ac:dyDescent="0.25">
      <c r="B3" s="131" t="s">
        <v>1040</v>
      </c>
      <c r="C3" s="149">
        <v>0</v>
      </c>
      <c r="D3" s="132">
        <f>Agriculture!C271+Agriculture!C375</f>
        <v>10587728.5</v>
      </c>
      <c r="E3" s="133">
        <f>C3+D3</f>
        <v>10587728.5</v>
      </c>
    </row>
    <row r="4" spans="2:5" ht="15.65" x14ac:dyDescent="0.25">
      <c r="B4" s="131" t="s">
        <v>1041</v>
      </c>
      <c r="C4" s="132">
        <f>Education!B50</f>
        <v>0</v>
      </c>
      <c r="D4" s="132"/>
      <c r="E4" s="133">
        <f t="shared" ref="E4:E32" si="0">C4+D4</f>
        <v>0</v>
      </c>
    </row>
    <row r="5" spans="2:5" ht="15.65" x14ac:dyDescent="0.25">
      <c r="B5" s="131" t="s">
        <v>1042</v>
      </c>
      <c r="C5" s="132"/>
      <c r="D5" s="132"/>
      <c r="E5" s="133">
        <f t="shared" si="0"/>
        <v>0</v>
      </c>
    </row>
    <row r="6" spans="2:5" ht="15.65" x14ac:dyDescent="0.25">
      <c r="B6" s="131" t="s">
        <v>1043</v>
      </c>
      <c r="C6" s="132"/>
      <c r="D6" s="132"/>
      <c r="E6" s="133">
        <f t="shared" si="0"/>
        <v>0</v>
      </c>
    </row>
    <row r="7" spans="2:5" ht="15.65" x14ac:dyDescent="0.25">
      <c r="B7" s="131" t="s">
        <v>310</v>
      </c>
      <c r="C7" s="132"/>
      <c r="D7" s="132"/>
      <c r="E7" s="133">
        <f t="shared" si="0"/>
        <v>0</v>
      </c>
    </row>
    <row r="8" spans="2:5" ht="15.65" x14ac:dyDescent="0.25">
      <c r="B8" s="131" t="s">
        <v>1044</v>
      </c>
      <c r="C8" s="132"/>
      <c r="D8" s="132">
        <f>Roads!C63</f>
        <v>38490894</v>
      </c>
      <c r="E8" s="133">
        <f t="shared" si="0"/>
        <v>38490894</v>
      </c>
    </row>
    <row r="9" spans="2:5" ht="15.65" x14ac:dyDescent="0.25">
      <c r="B9" s="131" t="s">
        <v>667</v>
      </c>
      <c r="C9" s="132"/>
      <c r="D9" s="132">
        <f>Trade!C79</f>
        <v>13917050.5</v>
      </c>
      <c r="E9" s="133">
        <f t="shared" si="0"/>
        <v>13917050.5</v>
      </c>
    </row>
    <row r="10" spans="2:5" ht="15.65" x14ac:dyDescent="0.25">
      <c r="B10" s="131" t="s">
        <v>1045</v>
      </c>
      <c r="C10" s="132"/>
      <c r="D10" s="132"/>
      <c r="E10" s="133">
        <f t="shared" si="0"/>
        <v>0</v>
      </c>
    </row>
    <row r="11" spans="2:5" ht="15.65" x14ac:dyDescent="0.25">
      <c r="B11" s="131" t="s">
        <v>1046</v>
      </c>
      <c r="C11" s="132"/>
      <c r="D11" s="132"/>
      <c r="E11" s="133">
        <f t="shared" si="0"/>
        <v>0</v>
      </c>
    </row>
    <row r="12" spans="2:5" ht="15.65" x14ac:dyDescent="0.25">
      <c r="B12" s="131" t="s">
        <v>700</v>
      </c>
      <c r="C12" s="132"/>
      <c r="D12" s="132"/>
      <c r="E12" s="133">
        <f t="shared" si="0"/>
        <v>0</v>
      </c>
    </row>
    <row r="13" spans="2:5" ht="15.65" x14ac:dyDescent="0.25">
      <c r="B13" s="131" t="s">
        <v>386</v>
      </c>
      <c r="C13" s="132"/>
      <c r="D13" s="132">
        <f>'Lands &amp;hsing &amp; municipalities'!C60</f>
        <v>1220812.5</v>
      </c>
      <c r="E13" s="133">
        <f t="shared" si="0"/>
        <v>1220812.5</v>
      </c>
    </row>
    <row r="14" spans="2:5" ht="15.65" x14ac:dyDescent="0.25">
      <c r="B14" s="131" t="s">
        <v>380</v>
      </c>
      <c r="C14" s="132"/>
      <c r="D14" s="132"/>
      <c r="E14" s="133">
        <f t="shared" si="0"/>
        <v>0</v>
      </c>
    </row>
    <row r="15" spans="2:5" ht="15.65" x14ac:dyDescent="0.25">
      <c r="B15" s="131" t="s">
        <v>1047</v>
      </c>
      <c r="C15" s="132"/>
      <c r="D15" s="132"/>
      <c r="E15" s="133">
        <f t="shared" si="0"/>
        <v>0</v>
      </c>
    </row>
    <row r="16" spans="2:5" ht="15.65" x14ac:dyDescent="0.25">
      <c r="B16" s="131" t="s">
        <v>1048</v>
      </c>
      <c r="C16" s="132"/>
      <c r="D16" s="132"/>
      <c r="E16" s="133">
        <f t="shared" si="0"/>
        <v>0</v>
      </c>
    </row>
    <row r="17" spans="2:5" ht="15.65" x14ac:dyDescent="0.25">
      <c r="B17" s="131" t="s">
        <v>1049</v>
      </c>
      <c r="C17" s="132"/>
      <c r="D17" s="151">
        <f>'Tourism &amp; water'!C63</f>
        <v>3099777</v>
      </c>
      <c r="E17" s="133">
        <f t="shared" si="0"/>
        <v>3099777</v>
      </c>
    </row>
    <row r="18" spans="2:5" ht="15.65" x14ac:dyDescent="0.25">
      <c r="B18" s="131" t="s">
        <v>1050</v>
      </c>
      <c r="C18" s="132"/>
      <c r="D18" s="132">
        <f>'Tourism &amp; water'!C131</f>
        <v>10702052</v>
      </c>
      <c r="E18" s="133">
        <f t="shared" si="0"/>
        <v>10702052</v>
      </c>
    </row>
    <row r="19" spans="2:5" ht="15.65" x14ac:dyDescent="0.25">
      <c r="B19" s="131" t="s">
        <v>381</v>
      </c>
      <c r="C19" s="132"/>
      <c r="D19" s="132">
        <f>Gender!C72</f>
        <v>594655</v>
      </c>
      <c r="E19" s="133">
        <f t="shared" si="0"/>
        <v>594655</v>
      </c>
    </row>
    <row r="20" spans="2:5" ht="15.65" x14ac:dyDescent="0.25">
      <c r="B20" s="131" t="s">
        <v>762</v>
      </c>
      <c r="C20" s="132"/>
      <c r="D20" s="132"/>
      <c r="E20" s="133">
        <f t="shared" si="0"/>
        <v>0</v>
      </c>
    </row>
    <row r="21" spans="2:5" ht="15.65" x14ac:dyDescent="0.25">
      <c r="B21" s="131" t="s">
        <v>1051</v>
      </c>
      <c r="C21" s="132"/>
      <c r="D21" s="132"/>
      <c r="E21" s="133">
        <f t="shared" si="0"/>
        <v>0</v>
      </c>
    </row>
    <row r="22" spans="2:5" ht="15.65" x14ac:dyDescent="0.25">
      <c r="B22" s="131" t="s">
        <v>1052</v>
      </c>
      <c r="C22" s="132"/>
      <c r="D22" s="132"/>
      <c r="E22" s="133">
        <f t="shared" si="0"/>
        <v>0</v>
      </c>
    </row>
    <row r="23" spans="2:5" ht="15.65" x14ac:dyDescent="0.25">
      <c r="B23" s="131" t="s">
        <v>764</v>
      </c>
      <c r="C23" s="132"/>
      <c r="D23" s="132"/>
      <c r="E23" s="133">
        <f t="shared" si="0"/>
        <v>0</v>
      </c>
    </row>
    <row r="24" spans="2:5" ht="15.65" x14ac:dyDescent="0.25">
      <c r="B24" s="131" t="s">
        <v>1053</v>
      </c>
      <c r="C24" s="132">
        <f>Finance!B22</f>
        <v>308606192</v>
      </c>
      <c r="D24" s="132"/>
      <c r="E24" s="133">
        <f t="shared" si="0"/>
        <v>308606192</v>
      </c>
    </row>
    <row r="25" spans="2:5" ht="15.65" x14ac:dyDescent="0.25">
      <c r="B25" s="131" t="s">
        <v>1054</v>
      </c>
      <c r="C25" s="132"/>
      <c r="D25" s="132">
        <f>'Public Admin'!C95</f>
        <v>1749406</v>
      </c>
      <c r="E25" s="133">
        <f t="shared" si="0"/>
        <v>1749406</v>
      </c>
    </row>
    <row r="26" spans="2:5" ht="15.65" x14ac:dyDescent="0.25">
      <c r="B26" s="131" t="s">
        <v>383</v>
      </c>
      <c r="C26" s="132"/>
      <c r="D26" s="132"/>
      <c r="E26" s="133">
        <f t="shared" si="0"/>
        <v>0</v>
      </c>
    </row>
    <row r="27" spans="2:5" ht="15.65" x14ac:dyDescent="0.25">
      <c r="B27" s="131" t="s">
        <v>1055</v>
      </c>
      <c r="C27" s="132">
        <f>'Public Admin'!C230</f>
        <v>10000000</v>
      </c>
      <c r="D27" s="132"/>
      <c r="E27" s="133">
        <f t="shared" si="0"/>
        <v>10000000</v>
      </c>
    </row>
    <row r="28" spans="2:5" x14ac:dyDescent="0.3">
      <c r="B28" s="131" t="s">
        <v>1056</v>
      </c>
      <c r="C28" s="132"/>
      <c r="D28" s="132"/>
      <c r="E28" s="133">
        <f t="shared" si="0"/>
        <v>0</v>
      </c>
    </row>
    <row r="29" spans="2:5" x14ac:dyDescent="0.3">
      <c r="B29" s="131" t="s">
        <v>1057</v>
      </c>
      <c r="C29" s="132"/>
      <c r="D29" s="132"/>
      <c r="E29" s="133">
        <f t="shared" si="0"/>
        <v>0</v>
      </c>
    </row>
    <row r="30" spans="2:5" ht="15.65" x14ac:dyDescent="0.25">
      <c r="B30" s="131" t="s">
        <v>545</v>
      </c>
      <c r="C30" s="132"/>
      <c r="D30" s="132"/>
      <c r="E30" s="133">
        <f t="shared" si="0"/>
        <v>0</v>
      </c>
    </row>
    <row r="31" spans="2:5" ht="15.65" x14ac:dyDescent="0.25">
      <c r="B31" s="131" t="s">
        <v>382</v>
      </c>
      <c r="C31" s="132"/>
      <c r="D31" s="132"/>
      <c r="E31" s="133">
        <f t="shared" si="0"/>
        <v>0</v>
      </c>
    </row>
    <row r="32" spans="2:5" ht="15.65" x14ac:dyDescent="0.25">
      <c r="B32" s="131" t="s">
        <v>94</v>
      </c>
      <c r="C32" s="132"/>
      <c r="D32" s="132"/>
      <c r="E32" s="133">
        <f t="shared" si="0"/>
        <v>0</v>
      </c>
    </row>
    <row r="33" spans="1:5" ht="15.65" x14ac:dyDescent="0.25">
      <c r="B33" s="123" t="s">
        <v>1058</v>
      </c>
      <c r="C33" s="124">
        <f>SUM(C3:C32)</f>
        <v>318606192</v>
      </c>
      <c r="D33" s="124">
        <f>SUM(D3:D32)</f>
        <v>80362375.5</v>
      </c>
      <c r="E33" s="124">
        <f>SUM(E3:E32)</f>
        <v>398968567.5</v>
      </c>
    </row>
    <row r="35" spans="1:5" ht="15.65" x14ac:dyDescent="0.3">
      <c r="E35" s="151">
        <f>170000000-E33</f>
        <v>-228968567.5</v>
      </c>
    </row>
    <row r="47" spans="1:5" ht="15.65" x14ac:dyDescent="0.3">
      <c r="A47" s="21"/>
      <c r="B47" s="22"/>
      <c r="C47" s="22"/>
      <c r="D47" s="22"/>
      <c r="E47" s="22"/>
    </row>
  </sheetData>
  <pageMargins left="0.7" right="0.7" top="0.75" bottom="0.75" header="0.3" footer="0.3"/>
  <pageSetup paperSize="9"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35"/>
  <sheetViews>
    <sheetView topLeftCell="A34" zoomScale="140" zoomScaleNormal="140" workbookViewId="0">
      <selection activeCell="D22" sqref="D22"/>
    </sheetView>
  </sheetViews>
  <sheetFormatPr defaultColWidth="8.90625" defaultRowHeight="15.5" x14ac:dyDescent="0.35"/>
  <cols>
    <col min="1" max="1" width="8.90625" style="22"/>
    <col min="2" max="2" width="32" style="21" customWidth="1"/>
    <col min="3" max="3" width="32.54296875" style="22" customWidth="1"/>
    <col min="4" max="4" width="25.90625" style="683" customWidth="1"/>
    <col min="5" max="5" width="27.36328125" style="22" customWidth="1"/>
    <col min="6" max="6" width="18.453125" style="22" customWidth="1"/>
    <col min="7" max="7" width="14.08984375" style="22" bestFit="1" customWidth="1"/>
    <col min="8" max="16384" width="8.90625" style="22"/>
  </cols>
  <sheetData>
    <row r="2" spans="1:5" ht="15.65" x14ac:dyDescent="0.3">
      <c r="A2" s="212"/>
      <c r="B2" s="77" t="s">
        <v>1211</v>
      </c>
      <c r="C2" s="77" t="s">
        <v>1199</v>
      </c>
      <c r="D2" s="684" t="s">
        <v>1200</v>
      </c>
      <c r="E2" s="77" t="s">
        <v>754</v>
      </c>
    </row>
    <row r="3" spans="1:5" x14ac:dyDescent="0.35">
      <c r="A3" s="826"/>
      <c r="B3" s="214" t="s">
        <v>1212</v>
      </c>
      <c r="C3" s="215">
        <v>11000000</v>
      </c>
      <c r="D3" s="685">
        <v>11000000</v>
      </c>
      <c r="E3" s="215">
        <f>D3-C3</f>
        <v>0</v>
      </c>
    </row>
    <row r="4" spans="1:5" x14ac:dyDescent="0.35">
      <c r="A4" s="826"/>
      <c r="B4" s="214" t="s">
        <v>1213</v>
      </c>
      <c r="C4" s="215">
        <v>80000000</v>
      </c>
      <c r="D4" s="685">
        <v>80000000</v>
      </c>
      <c r="E4" s="215"/>
    </row>
    <row r="5" spans="1:5" x14ac:dyDescent="0.35">
      <c r="A5" s="826"/>
      <c r="B5" s="216" t="s">
        <v>1214</v>
      </c>
      <c r="C5" s="217">
        <v>25000000</v>
      </c>
      <c r="D5" s="686">
        <f>10000000+15000000</f>
        <v>25000000</v>
      </c>
      <c r="E5" s="215">
        <f t="shared" ref="E5:E10" si="0">D5-C5</f>
        <v>0</v>
      </c>
    </row>
    <row r="6" spans="1:5" ht="15.65" x14ac:dyDescent="0.3">
      <c r="A6" s="213"/>
      <c r="B6" s="218" t="s">
        <v>1215</v>
      </c>
      <c r="C6" s="219">
        <v>90000000</v>
      </c>
      <c r="D6" s="686">
        <v>90000000</v>
      </c>
      <c r="E6" s="215">
        <f t="shared" si="0"/>
        <v>0</v>
      </c>
    </row>
    <row r="7" spans="1:5" ht="15.65" x14ac:dyDescent="0.3">
      <c r="A7" s="213"/>
      <c r="B7" s="218" t="s">
        <v>1216</v>
      </c>
      <c r="C7" s="220">
        <v>20000000</v>
      </c>
      <c r="D7" s="687">
        <v>10000000</v>
      </c>
      <c r="E7" s="215">
        <f t="shared" si="0"/>
        <v>-10000000</v>
      </c>
    </row>
    <row r="8" spans="1:5" x14ac:dyDescent="0.35">
      <c r="A8" s="827"/>
      <c r="B8" s="222" t="s">
        <v>1217</v>
      </c>
      <c r="C8" s="223">
        <v>107400000</v>
      </c>
      <c r="D8" s="688">
        <v>0</v>
      </c>
      <c r="E8" s="215">
        <f t="shared" si="0"/>
        <v>-107400000</v>
      </c>
    </row>
    <row r="9" spans="1:5" x14ac:dyDescent="0.35">
      <c r="A9" s="828"/>
      <c r="B9" s="222" t="s">
        <v>1218</v>
      </c>
      <c r="C9" s="223">
        <v>13698750</v>
      </c>
      <c r="D9" s="688">
        <v>13698750</v>
      </c>
      <c r="E9" s="215">
        <f t="shared" si="0"/>
        <v>0</v>
      </c>
    </row>
    <row r="10" spans="1:5" ht="15.65" x14ac:dyDescent="0.3">
      <c r="A10" s="213"/>
      <c r="B10" s="214" t="s">
        <v>360</v>
      </c>
      <c r="C10" s="224">
        <f>SUM(C3:C9)</f>
        <v>347098750</v>
      </c>
      <c r="D10" s="684">
        <f>SUM(D3:D9)</f>
        <v>229698750</v>
      </c>
      <c r="E10" s="225">
        <f t="shared" si="0"/>
        <v>-117400000</v>
      </c>
    </row>
    <row r="12" spans="1:5" ht="15.65" x14ac:dyDescent="0.3">
      <c r="B12" s="695" t="s">
        <v>1232</v>
      </c>
    </row>
    <row r="13" spans="1:5" s="23" customFormat="1" ht="15.65" x14ac:dyDescent="0.3">
      <c r="B13" s="228" t="s">
        <v>1198</v>
      </c>
      <c r="C13" s="229" t="s">
        <v>1199</v>
      </c>
      <c r="D13" s="689" t="s">
        <v>1200</v>
      </c>
      <c r="E13" s="77" t="s">
        <v>1201</v>
      </c>
    </row>
    <row r="14" spans="1:5" ht="15.65" x14ac:dyDescent="0.3">
      <c r="B14" s="216" t="s">
        <v>1202</v>
      </c>
      <c r="C14" s="221">
        <f>299000000-50000000</f>
        <v>249000000</v>
      </c>
      <c r="D14" s="690">
        <f>100000000+31484922</f>
        <v>131484922</v>
      </c>
      <c r="E14" s="230">
        <f t="shared" ref="E14:E33" si="1">C14-D14</f>
        <v>117515078</v>
      </c>
    </row>
    <row r="15" spans="1:5" ht="15.65" x14ac:dyDescent="0.3">
      <c r="B15" s="216" t="s">
        <v>1203</v>
      </c>
      <c r="C15" s="217">
        <f>28000000*12</f>
        <v>336000000</v>
      </c>
      <c r="D15" s="686">
        <v>252000000</v>
      </c>
      <c r="E15" s="230">
        <f t="shared" si="1"/>
        <v>84000000</v>
      </c>
    </row>
    <row r="16" spans="1:5" ht="15.65" x14ac:dyDescent="0.3">
      <c r="B16" s="216" t="s">
        <v>1204</v>
      </c>
      <c r="C16" s="217">
        <v>35000000</v>
      </c>
      <c r="D16" s="686">
        <v>21000000</v>
      </c>
      <c r="E16" s="230">
        <f t="shared" si="1"/>
        <v>14000000</v>
      </c>
    </row>
    <row r="17" spans="2:5" ht="15.65" x14ac:dyDescent="0.3">
      <c r="B17" s="216" t="s">
        <v>1205</v>
      </c>
      <c r="C17" s="217">
        <v>10000000</v>
      </c>
      <c r="D17" s="686">
        <f>'[1]County Attorney'!C12</f>
        <v>5031307</v>
      </c>
      <c r="E17" s="230">
        <f t="shared" si="1"/>
        <v>4968693</v>
      </c>
    </row>
    <row r="18" spans="2:5" ht="15.65" x14ac:dyDescent="0.3">
      <c r="B18" s="216" t="s">
        <v>94</v>
      </c>
      <c r="C18" s="217">
        <f>24*45000000</f>
        <v>1080000000</v>
      </c>
      <c r="D18" s="686">
        <f>[1]summary!D91</f>
        <v>613924728.75999999</v>
      </c>
      <c r="E18" s="230">
        <f t="shared" si="1"/>
        <v>466075271.24000001</v>
      </c>
    </row>
    <row r="19" spans="2:5" ht="15.65" x14ac:dyDescent="0.3">
      <c r="B19" s="216" t="s">
        <v>1206</v>
      </c>
      <c r="C19" s="217">
        <v>308606192.26666665</v>
      </c>
      <c r="D19" s="691">
        <v>147885187</v>
      </c>
      <c r="E19" s="230">
        <f t="shared" si="1"/>
        <v>160721005.26666665</v>
      </c>
    </row>
    <row r="20" spans="2:5" ht="15.65" x14ac:dyDescent="0.3">
      <c r="B20" s="216" t="s">
        <v>1207</v>
      </c>
      <c r="C20" s="217">
        <f>581000000-46988791</f>
        <v>534011209</v>
      </c>
      <c r="D20" s="691">
        <f>'[1]REC &amp; DEV'!D30+'[1]REC &amp; DEV'!D31</f>
        <v>434011208.50999999</v>
      </c>
      <c r="E20" s="230">
        <f t="shared" si="1"/>
        <v>100000000.49000001</v>
      </c>
    </row>
    <row r="21" spans="2:5" ht="15.65" x14ac:dyDescent="0.3">
      <c r="B21" s="213" t="s">
        <v>1208</v>
      </c>
      <c r="C21" s="217">
        <v>347098750</v>
      </c>
      <c r="D21" s="691">
        <v>229698750</v>
      </c>
      <c r="E21" s="230">
        <f t="shared" si="1"/>
        <v>117400000</v>
      </c>
    </row>
    <row r="22" spans="2:5" ht="15.65" x14ac:dyDescent="0.3">
      <c r="B22" s="213" t="s">
        <v>382</v>
      </c>
      <c r="C22" s="217">
        <v>200000000</v>
      </c>
      <c r="D22" s="691">
        <v>86861462</v>
      </c>
      <c r="E22" s="230">
        <f t="shared" si="1"/>
        <v>113138538</v>
      </c>
    </row>
    <row r="23" spans="2:5" ht="15.65" x14ac:dyDescent="0.3">
      <c r="B23" s="213" t="s">
        <v>1219</v>
      </c>
      <c r="C23" s="217">
        <v>30000000</v>
      </c>
      <c r="D23" s="691">
        <v>0</v>
      </c>
      <c r="E23" s="234">
        <f t="shared" si="1"/>
        <v>30000000</v>
      </c>
    </row>
    <row r="24" spans="2:5" ht="15.65" x14ac:dyDescent="0.3">
      <c r="B24" s="213" t="s">
        <v>1233</v>
      </c>
      <c r="C24" s="217">
        <v>30000000</v>
      </c>
      <c r="D24" s="691">
        <v>0</v>
      </c>
      <c r="E24" s="234">
        <f t="shared" si="1"/>
        <v>30000000</v>
      </c>
    </row>
    <row r="25" spans="2:5" ht="31.25" x14ac:dyDescent="0.3">
      <c r="B25" s="213" t="s">
        <v>1293</v>
      </c>
      <c r="C25" s="217">
        <v>10000000</v>
      </c>
      <c r="D25" s="691"/>
      <c r="E25" s="234">
        <f t="shared" si="1"/>
        <v>10000000</v>
      </c>
    </row>
    <row r="26" spans="2:5" ht="15.65" x14ac:dyDescent="0.3">
      <c r="B26" s="213" t="s">
        <v>1289</v>
      </c>
      <c r="C26" s="217">
        <v>270000000</v>
      </c>
      <c r="D26" s="691">
        <v>0</v>
      </c>
      <c r="E26" s="234">
        <f t="shared" si="1"/>
        <v>270000000</v>
      </c>
    </row>
    <row r="27" spans="2:5" ht="15.65" x14ac:dyDescent="0.3">
      <c r="B27" s="213" t="s">
        <v>1290</v>
      </c>
      <c r="C27" s="217">
        <v>56000000</v>
      </c>
      <c r="D27" s="691">
        <v>0</v>
      </c>
      <c r="E27" s="234">
        <f t="shared" si="1"/>
        <v>56000000</v>
      </c>
    </row>
    <row r="28" spans="2:5" ht="15.65" x14ac:dyDescent="0.3">
      <c r="B28" s="213" t="s">
        <v>213</v>
      </c>
      <c r="C28" s="217">
        <v>45396517.210423067</v>
      </c>
      <c r="D28" s="691"/>
      <c r="E28" s="234">
        <f t="shared" si="1"/>
        <v>45396517.210423067</v>
      </c>
    </row>
    <row r="29" spans="2:5" ht="15.65" x14ac:dyDescent="0.3">
      <c r="B29" s="212" t="s">
        <v>1209</v>
      </c>
      <c r="C29" s="217"/>
      <c r="D29" s="691"/>
      <c r="E29" s="230">
        <f t="shared" si="1"/>
        <v>0</v>
      </c>
    </row>
    <row r="30" spans="2:5" ht="15.65" x14ac:dyDescent="0.3">
      <c r="B30" s="231" t="s">
        <v>761</v>
      </c>
      <c r="C30" s="217">
        <v>30000000</v>
      </c>
      <c r="D30" s="686">
        <v>0</v>
      </c>
      <c r="E30" s="230">
        <f t="shared" si="1"/>
        <v>30000000</v>
      </c>
    </row>
    <row r="31" spans="2:5" ht="15.65" x14ac:dyDescent="0.3">
      <c r="B31" s="232" t="s">
        <v>762</v>
      </c>
      <c r="C31" s="217">
        <v>10000000</v>
      </c>
      <c r="D31" s="686">
        <v>0</v>
      </c>
      <c r="E31" s="230">
        <f t="shared" si="1"/>
        <v>10000000</v>
      </c>
    </row>
    <row r="32" spans="2:5" ht="15.65" x14ac:dyDescent="0.3">
      <c r="B32" s="231" t="s">
        <v>763</v>
      </c>
      <c r="C32" s="217">
        <v>10000000</v>
      </c>
      <c r="D32" s="686">
        <v>0</v>
      </c>
      <c r="E32" s="230">
        <f t="shared" si="1"/>
        <v>10000000</v>
      </c>
    </row>
    <row r="33" spans="2:5" ht="15.65" x14ac:dyDescent="0.3">
      <c r="B33" s="232" t="s">
        <v>764</v>
      </c>
      <c r="C33" s="217">
        <v>10000000</v>
      </c>
      <c r="D33" s="686">
        <v>0</v>
      </c>
      <c r="E33" s="230">
        <f t="shared" si="1"/>
        <v>10000000</v>
      </c>
    </row>
    <row r="34" spans="2:5" ht="15.65" x14ac:dyDescent="0.3">
      <c r="B34" s="213" t="s">
        <v>1210</v>
      </c>
      <c r="C34" s="233">
        <v>41666398.780000001</v>
      </c>
      <c r="D34" s="691">
        <v>0</v>
      </c>
      <c r="E34" s="233">
        <v>41666398.780000001</v>
      </c>
    </row>
    <row r="35" spans="2:5" s="23" customFormat="1" ht="15.65" x14ac:dyDescent="0.3">
      <c r="B35" s="228" t="s">
        <v>360</v>
      </c>
      <c r="C35" s="229">
        <f>SUM(C14:C34)</f>
        <v>3642779067.2570896</v>
      </c>
      <c r="D35" s="689">
        <f>SUM(D14:D34)</f>
        <v>1921897565.27</v>
      </c>
      <c r="E35" s="229">
        <f>SUM(E14:E34)</f>
        <v>1720881501.9870896</v>
      </c>
    </row>
  </sheetData>
  <mergeCells count="2">
    <mergeCell ref="A3:A5"/>
    <mergeCell ref="A8:A9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17</vt:i4>
      </vt:variant>
    </vt:vector>
  </HeadingPairs>
  <TitlesOfParts>
    <vt:vector size="39" baseType="lpstr">
      <vt:lpstr>Summary</vt:lpstr>
      <vt:lpstr>Classification</vt:lpstr>
      <vt:lpstr>Sheet8</vt:lpstr>
      <vt:lpstr>REC &amp; DEV</vt:lpstr>
      <vt:lpstr>Bill one Cuts</vt:lpstr>
      <vt:lpstr>Resource envelope</vt:lpstr>
      <vt:lpstr>Local Rev.</vt:lpstr>
      <vt:lpstr>pending bills</vt:lpstr>
      <vt:lpstr>Critical Programmes and savings</vt:lpstr>
      <vt:lpstr>Agriculture</vt:lpstr>
      <vt:lpstr>Tourism &amp; water</vt:lpstr>
      <vt:lpstr>Education</vt:lpstr>
      <vt:lpstr>Roads</vt:lpstr>
      <vt:lpstr>Health</vt:lpstr>
      <vt:lpstr>Finance</vt:lpstr>
      <vt:lpstr>Trade</vt:lpstr>
      <vt:lpstr>Lands &amp;hsing &amp; municipalities</vt:lpstr>
      <vt:lpstr>Gov.</vt:lpstr>
      <vt:lpstr>Gender</vt:lpstr>
      <vt:lpstr>Public Admin</vt:lpstr>
      <vt:lpstr>CPSB</vt:lpstr>
      <vt:lpstr>Assembly</vt:lpstr>
      <vt:lpstr>Agriculture!Print_Area</vt:lpstr>
      <vt:lpstr>Assembly!Print_Area</vt:lpstr>
      <vt:lpstr>CPSB!Print_Area</vt:lpstr>
      <vt:lpstr>'Critical Programmes and savings'!Print_Area</vt:lpstr>
      <vt:lpstr>Education!Print_Area</vt:lpstr>
      <vt:lpstr>Finance!Print_Area</vt:lpstr>
      <vt:lpstr>Gender!Print_Area</vt:lpstr>
      <vt:lpstr>Gov.!Print_Area</vt:lpstr>
      <vt:lpstr>Health!Print_Area</vt:lpstr>
      <vt:lpstr>'Lands &amp;hsing &amp; municipalities'!Print_Area</vt:lpstr>
      <vt:lpstr>'Local Rev.'!Print_Area</vt:lpstr>
      <vt:lpstr>'REC &amp; DEV'!Print_Area</vt:lpstr>
      <vt:lpstr>'Resource envelope'!Print_Area</vt:lpstr>
      <vt:lpstr>Roads!Print_Area</vt:lpstr>
      <vt:lpstr>Sheet8!Print_Area</vt:lpstr>
      <vt:lpstr>'Tourism &amp; water'!Print_Area</vt:lpstr>
      <vt:lpstr>Trade!Print_Area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mukhula</dc:creator>
  <cp:lastModifiedBy>USER</cp:lastModifiedBy>
  <cp:lastPrinted>2024-04-30T08:44:42Z</cp:lastPrinted>
  <dcterms:created xsi:type="dcterms:W3CDTF">2022-03-19T16:34:09Z</dcterms:created>
  <dcterms:modified xsi:type="dcterms:W3CDTF">2024-05-07T12:46:57Z</dcterms:modified>
</cp:coreProperties>
</file>